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0" yWindow="0" windowWidth="25200" windowHeight="11760" activeTab="4"/>
  </bookViews>
  <sheets>
    <sheet name="Benefit Statement" sheetId="1" r:id="rId1"/>
    <sheet name="Pro Rata Arrears" sheetId="5" r:id="rId2"/>
    <sheet name="Limited Arrears" sheetId="9" r:id="rId3"/>
    <sheet name="SPC Rates" sheetId="7" r:id="rId4"/>
    <sheet name="General Notes on spreadsheets" sheetId="4" r:id="rId5"/>
  </sheets>
  <definedNames/>
  <calcPr calcId="171027" fullPrecision="0"/>
</workbook>
</file>

<file path=xl/comments1.xml><?xml version="1.0" encoding="utf-8"?>
<comments xmlns="http://schemas.openxmlformats.org/spreadsheetml/2006/main">
  <authors>
    <author>Author</author>
  </authors>
  <commentList>
    <comment ref="B9" authorId="0">
      <text>
        <r>
          <rPr>
            <sz val="8"/>
            <rFont val="Tahoma"/>
            <family val="2"/>
          </rPr>
          <t xml:space="preserve"> WTE salary or if part time: part-time hourly rate x wholetime equivalent hours
</t>
        </r>
      </text>
    </comment>
    <comment ref="H53" authorId="0">
      <text>
        <r>
          <rPr>
            <sz val="8"/>
            <rFont val="Tahoma"/>
            <family val="2"/>
          </rPr>
          <t xml:space="preserve">input any outstanding contributions
</t>
        </r>
      </text>
    </comment>
    <comment ref="E57" authorId="0">
      <text>
        <r>
          <rPr>
            <sz val="8"/>
            <rFont val="Tahoma"/>
            <family val="2"/>
          </rPr>
          <t xml:space="preserve">Twice the annual state pension contributory amount
</t>
        </r>
      </text>
    </comment>
    <comment ref="G90" authorId="0">
      <text>
        <r>
          <rPr>
            <sz val="8"/>
            <rFont val="Tahoma"/>
            <family val="2"/>
          </rPr>
          <t xml:space="preserve">pro-rata service
</t>
        </r>
      </text>
    </comment>
    <comment ref="E95" authorId="0">
      <text>
        <r>
          <rPr>
            <sz val="8"/>
            <rFont val="Tahoma"/>
            <family val="2"/>
          </rPr>
          <t xml:space="preserve">adjust formula accordingly when rate changes
</t>
        </r>
      </text>
    </comment>
    <comment ref="B98" authorId="0">
      <text>
        <r>
          <rPr>
            <sz val="8"/>
            <rFont val="Tahoma"/>
            <family val="2"/>
          </rPr>
          <t>input correct figure in accordance with rule  3.3333333 x annual SPC. IF less than this amount, input annual salary.</t>
        </r>
      </text>
    </comment>
    <comment ref="B99" authorId="0">
      <text>
        <r>
          <rPr>
            <sz val="8"/>
            <rFont val="Tahoma"/>
            <family val="2"/>
          </rPr>
          <t>input balance above 3.3333333 x annual SPC</t>
        </r>
      </text>
    </comment>
  </commentList>
</comments>
</file>

<file path=xl/sharedStrings.xml><?xml version="1.0" encoding="utf-8"?>
<sst xmlns="http://schemas.openxmlformats.org/spreadsheetml/2006/main" count="255" uniqueCount="127">
  <si>
    <t>Ltd Service</t>
  </si>
  <si>
    <t xml:space="preserve"> </t>
  </si>
  <si>
    <t>Years</t>
  </si>
  <si>
    <t>P/T Hrs</t>
  </si>
  <si>
    <t>Over All Total</t>
  </si>
  <si>
    <t>Pension</t>
  </si>
  <si>
    <t>WTE Salary</t>
  </si>
  <si>
    <t>Nett Lump Sum</t>
  </si>
  <si>
    <t>SERVICE</t>
  </si>
  <si>
    <t>PENSION</t>
  </si>
  <si>
    <t>Arrears Pre 96 Service</t>
  </si>
  <si>
    <t>Pension 1/200</t>
  </si>
  <si>
    <t>Pension 1/80</t>
  </si>
  <si>
    <t>x Notional Full Time Service</t>
  </si>
  <si>
    <t>Over 3/80 (Lump Sum)</t>
  </si>
  <si>
    <t>Arrears of Contributions</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</si>
  <si>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</si>
  <si>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</si>
  <si>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</si>
  <si>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</si>
  <si>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</si>
  <si>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</si>
  <si>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</si>
  <si>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</si>
  <si>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</si>
  <si>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</si>
  <si>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</si>
  <si>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</si>
  <si>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</si>
  <si>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</si>
  <si>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</si>
  <si>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</si>
  <si>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</si>
  <si>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</si>
  <si>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</si>
  <si>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</si>
  <si>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</si>
  <si>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Contract Value if applicable</t>
  </si>
  <si>
    <t xml:space="preserve">3.3333333x SPC = </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</si>
  <si>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</si>
  <si>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</si>
  <si>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 xml:space="preserve">WTE Hours for this case </t>
  </si>
  <si>
    <t>Name</t>
  </si>
  <si>
    <t>Address</t>
  </si>
  <si>
    <t>PPS No</t>
  </si>
  <si>
    <t>Date of Birth</t>
  </si>
  <si>
    <t>Benefit Date</t>
  </si>
  <si>
    <t>Name:</t>
  </si>
  <si>
    <t>Staff ID</t>
  </si>
  <si>
    <t>Year</t>
  </si>
  <si>
    <t>Actual Salary</t>
  </si>
  <si>
    <t>Gross Pens</t>
  </si>
  <si>
    <t>SPC</t>
  </si>
  <si>
    <t>P/R Pen</t>
  </si>
  <si>
    <t>Nett Pens</t>
  </si>
  <si>
    <t>Pro Rata Pens</t>
  </si>
  <si>
    <t>Service</t>
  </si>
  <si>
    <t>WTE Pens</t>
  </si>
  <si>
    <t>01.01.02 - 31.12.02</t>
  </si>
  <si>
    <t>01.01.03 - 31.12.03</t>
  </si>
  <si>
    <t>01.01.04 - 31.12.04</t>
  </si>
  <si>
    <t>01.01.05 - 31.12.05</t>
  </si>
  <si>
    <t>01.01.06 - 31.12.06</t>
  </si>
  <si>
    <t>01.01.07 - 31.12.07</t>
  </si>
  <si>
    <t>01.01.08 - 31.12.08</t>
  </si>
  <si>
    <t>01.01.09 - 31.12.09</t>
  </si>
  <si>
    <t>01.01.10 - 31.12.10</t>
  </si>
  <si>
    <t>01.01.11 - 31.12.11</t>
  </si>
  <si>
    <t>01.01.12 - 31.12.12</t>
  </si>
  <si>
    <t>Pre 01 (Pt 1 Dec 01)</t>
  </si>
  <si>
    <t>Sub Total</t>
  </si>
  <si>
    <t>S/Ann Paid</t>
  </si>
  <si>
    <t>S/Ann Due</t>
  </si>
  <si>
    <t xml:space="preserve">Estimate of Lump Sum &amp; Pension </t>
  </si>
  <si>
    <t>DATES</t>
  </si>
  <si>
    <t>WEEKS</t>
  </si>
  <si>
    <t xml:space="preserve">WEEKLY </t>
  </si>
  <si>
    <t>NET EARNINGS</t>
  </si>
  <si>
    <t>OAP</t>
  </si>
  <si>
    <t>14.06.96 - 31.12.96</t>
  </si>
  <si>
    <t>01.01.97 - 31.05.97</t>
  </si>
  <si>
    <t>01.06.97 - 31.12.97</t>
  </si>
  <si>
    <t>01.01.98 - 04.06.98</t>
  </si>
  <si>
    <t>01.01.99 - 02.06.99</t>
  </si>
  <si>
    <t>03.06.99 - 31.12.99</t>
  </si>
  <si>
    <t>01.01.00 - 04.05.00</t>
  </si>
  <si>
    <t>05.05.00 - 31.12.00</t>
  </si>
  <si>
    <t>01.01.01 - 05.04.01</t>
  </si>
  <si>
    <t>06.04.01 - 31.12.01</t>
  </si>
  <si>
    <t>SPC Rates from 01/04/96 to 31/12/09</t>
  </si>
  <si>
    <t xml:space="preserve">SPC Rates from 01/01/02 to </t>
  </si>
  <si>
    <t>01.01.13 - 31.12.13</t>
  </si>
  <si>
    <t>01.01.14 - 31.12.14</t>
  </si>
  <si>
    <t>01.01.15 - 31.12.15</t>
  </si>
  <si>
    <t>01.01.16 - 31.12.16</t>
  </si>
  <si>
    <t>Emp No</t>
  </si>
  <si>
    <t>Pro Rata Arrears</t>
  </si>
  <si>
    <t>2001</t>
  </si>
  <si>
    <t>2002</t>
  </si>
  <si>
    <t>2003</t>
  </si>
  <si>
    <t>2004</t>
  </si>
  <si>
    <t>2005</t>
  </si>
  <si>
    <t>2006</t>
  </si>
  <si>
    <t>2007</t>
  </si>
  <si>
    <t>2008</t>
  </si>
  <si>
    <t>2009</t>
  </si>
  <si>
    <t>2010</t>
  </si>
  <si>
    <t>2011</t>
  </si>
  <si>
    <t>2012</t>
  </si>
  <si>
    <t>2013</t>
  </si>
  <si>
    <t>2014</t>
  </si>
  <si>
    <t>2015</t>
  </si>
  <si>
    <t>2016</t>
  </si>
  <si>
    <t>Centre</t>
  </si>
  <si>
    <t>Start Date</t>
  </si>
  <si>
    <t>Wks</t>
  </si>
  <si>
    <t>01.01.98 - 31.12.98</t>
  </si>
  <si>
    <t>Limited Membership Arrears</t>
  </si>
  <si>
    <t>Spouses &amp; Children owed on .0493% at retirement or ongoing at 1.5% for 18 days</t>
  </si>
  <si>
    <t>Less Arrears</t>
  </si>
  <si>
    <t>Superannuation paid</t>
  </si>
  <si>
    <t>01.04.96 - 13.06.96</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</si>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</sst>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0.0000"/>
    <numFmt numFmtId="165" formatCode="&quot;€&quot;#,##0.00"/>
    <numFmt numFmtId="166" formatCode="dd/mm/yyyy;@"/>
    <numFmt numFmtId="167" formatCode="#,##0.0000_ ;[Red]\-#,##0.0000\ "/>
  </numFmts>
  <fonts count="29">
    <font>
      <sz val="11"/>
      <color theme="1"/>
      <name val="Calibri"/>
      <family val="2"/>
      <scheme val="minor"/>
    </font>
    <font>
      <sz val="10"/>
      <name val="Arial"/>
      <family val="2"/>
    </font>
    <font>
      <sz val="8"/>
      <name val="Tahoma"/>
      <family val="2"/>
    </font>
    <font>
      <sz val="8"/>
      <name val="Calibri"/>
      <family val="2"/>
    </font>
    <font>
      <sz val="11"/>
      <color indexed="10"/>
      <name val="Calibri"/>
      <family val="2"/>
    </font>
    <font>
      <b/>
      <sz val="11"/>
      <color theme="1"/>
      <name val="Calibri"/>
      <family val="2"/>
      <scheme val="minor"/>
    </font>
    <font>
      <sz val="10"/>
      <color theme="1"/>
      <name val="Calibri"/>
      <family val="2"/>
      <scheme val="minor"/>
    </font>
    <font>
      <sz val="10"/>
      <color theme="1"/>
      <name val="Arial"/>
      <family val="2"/>
    </font>
    <font>
      <sz val="11"/>
      <name val="Calibri"/>
      <family val="2"/>
      <scheme val="minor"/>
    </font>
    <font>
      <b/>
      <sz val="12"/>
      <name val="Calibri"/>
      <family val="2"/>
      <scheme val="minor"/>
    </font>
    <font>
      <sz val="10"/>
      <name val="Calibri"/>
      <family val="2"/>
      <scheme val="minor"/>
    </font>
    <font>
      <sz val="11"/>
      <color indexed="10"/>
      <name val="Calibri"/>
      <family val="2"/>
      <scheme val="minor"/>
    </font>
    <font>
      <sz val="10"/>
      <color indexed="10"/>
      <name val="Calibri"/>
      <family val="2"/>
      <scheme val="minor"/>
    </font>
    <font>
      <b/>
      <sz val="22"/>
      <color indexed="8"/>
      <name val="Calibri"/>
      <family val="2"/>
      <scheme val="minor"/>
    </font>
    <font>
      <sz val="22"/>
      <color indexed="8"/>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26"/>
      <color indexed="8"/>
      <name val="Calibri"/>
      <family val="2"/>
      <scheme val="minor"/>
    </font>
    <font>
      <b/>
      <u val="single"/>
      <sz val="11"/>
      <color indexed="8"/>
      <name val="Calibri"/>
      <family val="2"/>
      <scheme val="minor"/>
    </font>
    <font>
      <b/>
      <sz val="11"/>
      <name val="Calibri"/>
      <family val="2"/>
      <scheme val="minor"/>
    </font>
    <font>
      <b/>
      <sz val="11"/>
      <color indexed="10"/>
      <name val="Calibri"/>
      <family val="2"/>
      <scheme val="minor"/>
    </font>
    <font>
      <sz val="11"/>
      <color indexed="60"/>
      <name val="Calibri"/>
      <family val="2"/>
      <scheme val="minor"/>
    </font>
    <font>
      <b/>
      <sz val="10"/>
      <color indexed="8"/>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indexed="10"/>
      <name val="Calibri"/>
      <family val="2"/>
      <scheme val="minor"/>
    </font>
    <font>
      <b/>
      <sz val="8"/>
      <name val="Calibri"/>
      <family val="2"/>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right style="thin"/>
      <top style="thin"/>
      <bottom style="thin"/>
    </border>
    <border>
      <left/>
      <right/>
      <top/>
      <bottom style="double"/>
    </border>
    <border>
      <left style="thin"/>
      <right/>
      <top style="thin"/>
      <bottom style="thin"/>
    </border>
    <border>
      <left/>
      <right style="thin"/>
      <top style="thin"/>
      <bottom style="thin"/>
    </border>
    <border>
      <left/>
      <right/>
      <top/>
      <bottom style="thin"/>
    </border>
    <border>
      <left style="thin"/>
      <right/>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4">
    <xf numFmtId="0" fontId="0" fillId="0" borderId="0" xfId="0"/>
    <xf numFmtId="0" fontId="0" fillId="0" borderId="0" xfId="0" applyFont="1"/>
    <xf numFmtId="164" fontId="0" fillId="0" borderId="1" xfId="0" applyNumberFormat="1" applyFont="1" applyBorder="1"/>
    <xf numFmtId="0" fontId="0" fillId="0" borderId="1" xfId="0" applyFont="1" applyBorder="1"/>
    <xf numFmtId="165" fontId="0" fillId="0" borderId="1" xfId="0" applyNumberFormat="1" applyFont="1" applyBorder="1"/>
    <xf numFmtId="8" fontId="0" fillId="0" borderId="1" xfId="0" applyNumberFormat="1" applyFont="1" applyBorder="1"/>
    <xf numFmtId="0" fontId="0" fillId="0" borderId="1" xfId="0" applyFont="1" applyBorder="1" applyAlignment="1">
      <alignment wrapText="1"/>
    </xf>
    <xf numFmtId="164" fontId="0" fillId="2" borderId="1" xfId="0" applyNumberFormat="1" applyFont="1" applyFill="1" applyBorder="1"/>
    <xf numFmtId="0" fontId="0" fillId="0" borderId="0" xfId="0" applyAlignment="1">
      <alignment horizontal="left"/>
    </xf>
    <xf numFmtId="0" fontId="6" fillId="0" borderId="0" xfId="0" applyFont="1"/>
    <xf numFmtId="0" fontId="7" fillId="0" borderId="0" xfId="0" applyFont="1"/>
    <xf numFmtId="0" fontId="7" fillId="2" borderId="0" xfId="0" applyFont="1" applyFill="1"/>
    <xf numFmtId="0" fontId="4" fillId="0" borderId="0" xfId="0" applyFont="1"/>
    <xf numFmtId="0" fontId="0" fillId="2" borderId="0" xfId="0" applyFill="1"/>
    <xf numFmtId="166" fontId="5" fillId="0" borderId="1" xfId="0" applyNumberFormat="1" applyFont="1" applyBorder="1"/>
    <xf numFmtId="166" fontId="5" fillId="0" borderId="1" xfId="0" applyNumberFormat="1" applyFont="1" applyBorder="1" applyAlignment="1">
      <alignment horizontal="center"/>
    </xf>
    <xf numFmtId="165" fontId="5" fillId="0" borderId="1" xfId="0" applyNumberFormat="1" applyFont="1" applyBorder="1"/>
    <xf numFmtId="165" fontId="5" fillId="0" borderId="1" xfId="0" applyNumberFormat="1" applyFont="1" applyBorder="1" applyAlignment="1">
      <alignment horizontal="right"/>
    </xf>
    <xf numFmtId="164" fontId="8" fillId="0" borderId="1" xfId="0" applyNumberFormat="1" applyFont="1" applyBorder="1"/>
    <xf numFmtId="0" fontId="5" fillId="0" borderId="1" xfId="0" applyFont="1" applyBorder="1"/>
    <xf numFmtId="49" fontId="0" fillId="3" borderId="1" xfId="0" applyNumberFormat="1" applyFont="1" applyFill="1" applyBorder="1" applyAlignment="1">
      <alignment horizontal="right" wrapText="1"/>
    </xf>
    <xf numFmtId="16" fontId="0" fillId="3" borderId="1" xfId="0" applyNumberFormat="1" applyFont="1" applyFill="1" applyBorder="1"/>
    <xf numFmtId="165" fontId="0" fillId="3" borderId="1" xfId="0" applyNumberFormat="1" applyFont="1" applyFill="1" applyBorder="1"/>
    <xf numFmtId="49" fontId="0" fillId="3" borderId="0" xfId="0" applyNumberFormat="1" applyFont="1" applyFill="1" applyBorder="1" applyAlignment="1">
      <alignment horizontal="right" wrapText="1"/>
    </xf>
    <xf numFmtId="0" fontId="0" fillId="0" borderId="0" xfId="0" applyFont="1" applyBorder="1"/>
    <xf numFmtId="166" fontId="0" fillId="0" borderId="1" xfId="0" applyNumberFormat="1" applyFont="1" applyBorder="1"/>
    <xf numFmtId="166" fontId="9" fillId="0" borderId="1" xfId="0" applyNumberFormat="1" applyFont="1" applyBorder="1"/>
    <xf numFmtId="164" fontId="9" fillId="0" borderId="1" xfId="0" applyNumberFormat="1" applyFont="1" applyBorder="1"/>
    <xf numFmtId="165" fontId="9" fillId="0" borderId="1" xfId="0" applyNumberFormat="1" applyFont="1" applyBorder="1"/>
    <xf numFmtId="0" fontId="9" fillId="0" borderId="1" xfId="0" applyFont="1" applyBorder="1"/>
    <xf numFmtId="166" fontId="10" fillId="0" borderId="1" xfId="0" applyNumberFormat="1" applyFont="1" applyBorder="1"/>
    <xf numFmtId="164" fontId="10" fillId="0" borderId="1" xfId="0" applyNumberFormat="1" applyFont="1" applyBorder="1"/>
    <xf numFmtId="165" fontId="10" fillId="0" borderId="1" xfId="0" applyNumberFormat="1" applyFont="1" applyBorder="1"/>
    <xf numFmtId="166" fontId="10" fillId="2" borderId="1" xfId="0" applyNumberFormat="1" applyFont="1" applyFill="1" applyBorder="1"/>
    <xf numFmtId="166" fontId="11" fillId="0" borderId="1" xfId="0" applyNumberFormat="1" applyFont="1" applyBorder="1"/>
    <xf numFmtId="164" fontId="12" fillId="0" borderId="1" xfId="0" applyNumberFormat="1" applyFont="1" applyBorder="1"/>
    <xf numFmtId="165" fontId="11" fillId="0" borderId="1" xfId="0" applyNumberFormat="1" applyFont="1" applyBorder="1"/>
    <xf numFmtId="164" fontId="10" fillId="2" borderId="1" xfId="0" applyNumberFormat="1" applyFont="1" applyFill="1" applyBorder="1"/>
    <xf numFmtId="165" fontId="0" fillId="2" borderId="1" xfId="0" applyNumberFormat="1" applyFont="1" applyFill="1" applyBorder="1"/>
    <xf numFmtId="0" fontId="0" fillId="2" borderId="0" xfId="0" applyFont="1" applyFill="1"/>
    <xf numFmtId="166" fontId="10" fillId="4" borderId="1" xfId="0" applyNumberFormat="1" applyFont="1" applyFill="1" applyBorder="1"/>
    <xf numFmtId="164" fontId="0" fillId="0" borderId="0" xfId="0" applyNumberFormat="1" applyFont="1"/>
    <xf numFmtId="0" fontId="0" fillId="0" borderId="0" xfId="0" applyFont="1" applyAlignment="1">
      <alignment vertical="top"/>
    </xf>
    <xf numFmtId="0" fontId="0" fillId="0" borderId="0" xfId="0" applyFont="1" applyAlignment="1">
      <alignment horizontal="left" vertical="top"/>
    </xf>
    <xf numFmtId="49" fontId="0" fillId="0" borderId="0" xfId="0" applyNumberFormat="1" applyFont="1" applyAlignment="1">
      <alignment horizontal="right"/>
    </xf>
    <xf numFmtId="0" fontId="0" fillId="2" borderId="0" xfId="0" applyFont="1" applyFill="1" applyAlignment="1">
      <alignment wrapText="1"/>
    </xf>
    <xf numFmtId="165" fontId="0" fillId="3" borderId="0" xfId="0" applyNumberFormat="1" applyFont="1" applyFill="1" applyAlignment="1">
      <alignment horizontal="right" wrapText="1"/>
    </xf>
    <xf numFmtId="0" fontId="0" fillId="3" borderId="0" xfId="0" applyFont="1" applyFill="1" applyAlignment="1">
      <alignment wrapText="1"/>
    </xf>
    <xf numFmtId="164" fontId="0" fillId="3" borderId="0" xfId="0" applyNumberFormat="1" applyFont="1" applyFill="1" applyAlignment="1">
      <alignment wrapText="1"/>
    </xf>
    <xf numFmtId="164" fontId="0" fillId="0" borderId="0" xfId="0" applyNumberFormat="1" applyFont="1" applyAlignment="1">
      <alignment wrapText="1"/>
    </xf>
    <xf numFmtId="0" fontId="0" fillId="0" borderId="0" xfId="0" applyFont="1" applyAlignment="1">
      <alignment wrapText="1"/>
    </xf>
    <xf numFmtId="49" fontId="0" fillId="3" borderId="0" xfId="0" applyNumberFormat="1" applyFont="1" applyFill="1" applyAlignment="1">
      <alignment horizontal="right"/>
    </xf>
    <xf numFmtId="0" fontId="0" fillId="3" borderId="0" xfId="0" applyFont="1" applyFill="1"/>
    <xf numFmtId="164" fontId="0" fillId="3" borderId="0" xfId="0" applyNumberFormat="1" applyFont="1" applyFill="1"/>
    <xf numFmtId="164" fontId="0" fillId="3" borderId="1" xfId="0" applyNumberFormat="1" applyFont="1" applyFill="1" applyBorder="1"/>
    <xf numFmtId="2" fontId="0" fillId="3" borderId="1" xfId="0" applyNumberFormat="1" applyFont="1" applyFill="1" applyBorder="1"/>
    <xf numFmtId="0" fontId="0" fillId="3" borderId="1" xfId="0" applyFont="1" applyFill="1" applyBorder="1"/>
    <xf numFmtId="49" fontId="0" fillId="0" borderId="0" xfId="0" applyNumberFormat="1" applyFont="1" applyAlignment="1" applyProtection="1">
      <alignment horizontal="right"/>
      <protection locked="0"/>
    </xf>
    <xf numFmtId="8" fontId="0" fillId="0" borderId="1" xfId="0" applyNumberFormat="1" applyFont="1" applyFill="1" applyBorder="1" applyProtection="1">
      <protection locked="0"/>
    </xf>
    <xf numFmtId="2" fontId="0" fillId="0" borderId="1" xfId="0" applyNumberFormat="1" applyFont="1" applyBorder="1"/>
    <xf numFmtId="2" fontId="0" fillId="0" borderId="1" xfId="0" applyNumberFormat="1" applyFont="1" applyFill="1" applyBorder="1"/>
    <xf numFmtId="165" fontId="0" fillId="0" borderId="1" xfId="0" applyNumberFormat="1" applyFont="1" applyBorder="1" applyAlignment="1">
      <alignment horizontal="right"/>
    </xf>
    <xf numFmtId="0" fontId="0" fillId="0" borderId="2" xfId="0" applyFont="1" applyBorder="1"/>
    <xf numFmtId="49" fontId="0" fillId="0" borderId="2" xfId="0" applyNumberFormat="1" applyFont="1" applyBorder="1" applyAlignment="1">
      <alignment horizontal="right"/>
    </xf>
    <xf numFmtId="164" fontId="0" fillId="0" borderId="2" xfId="0" applyNumberFormat="1" applyFont="1" applyBorder="1"/>
    <xf numFmtId="49" fontId="0" fillId="0" borderId="1" xfId="0" applyNumberFormat="1" applyFont="1" applyBorder="1" applyAlignment="1">
      <alignment horizontal="right"/>
    </xf>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8" fontId="0" fillId="0" borderId="0" xfId="0" applyNumberFormat="1" applyFont="1"/>
    <xf numFmtId="165" fontId="0" fillId="3" borderId="1" xfId="0" applyNumberFormat="1" applyFont="1" applyFill="1" applyBorder="1" applyAlignment="1">
      <alignment horizontal="right"/>
    </xf>
    <xf numFmtId="165" fontId="0" fillId="0" borderId="0" xfId="0" applyNumberFormat="1" applyFont="1" applyBorder="1" applyAlignment="1">
      <alignment horizontal="right"/>
    </xf>
    <xf numFmtId="164" fontId="0" fillId="0" borderId="0" xfId="0" applyNumberFormat="1" applyFont="1" applyBorder="1"/>
    <xf numFmtId="0" fontId="13" fillId="0" borderId="0" xfId="0" applyFont="1" applyAlignment="1">
      <alignment horizontal="center"/>
    </xf>
    <xf numFmtId="0" fontId="14" fillId="0" borderId="0" xfId="0" applyFont="1"/>
    <xf numFmtId="0" fontId="13" fillId="0" borderId="0" xfId="0" applyFont="1" applyAlignment="1">
      <alignment horizontal="center"/>
    </xf>
    <xf numFmtId="0" fontId="15" fillId="0" borderId="0" xfId="0" applyFont="1" applyAlignment="1">
      <alignment horizontal="center"/>
    </xf>
    <xf numFmtId="0" fontId="15" fillId="0" borderId="0" xfId="0" applyFont="1" applyAlignment="1">
      <alignment vertical="top"/>
    </xf>
    <xf numFmtId="0" fontId="16" fillId="0" borderId="0" xfId="0" applyFont="1" quotePrefix="1"/>
    <xf numFmtId="0" fontId="16" fillId="0" borderId="0" xfId="0" applyFont="1"/>
    <xf numFmtId="0" fontId="15" fillId="0" borderId="0" xfId="0" applyFont="1" applyAlignment="1">
      <alignment horizontal="left" vertical="top"/>
    </xf>
    <xf numFmtId="14" fontId="15" fillId="0" borderId="0" xfId="0" applyNumberFormat="1" applyFont="1" applyAlignment="1">
      <alignment horizontal="left"/>
    </xf>
    <xf numFmtId="14" fontId="16" fillId="0" borderId="0" xfId="0" applyNumberFormat="1" applyFont="1" applyAlignment="1">
      <alignment horizontal="left" vertical="top"/>
    </xf>
    <xf numFmtId="14" fontId="15" fillId="0" borderId="0" xfId="0" applyNumberFormat="1" applyFont="1" applyAlignment="1">
      <alignment horizontal="left" vertical="top"/>
    </xf>
    <xf numFmtId="164" fontId="15" fillId="0" borderId="0" xfId="0" applyNumberFormat="1" applyFont="1"/>
    <xf numFmtId="0" fontId="17" fillId="0" borderId="0" xfId="0" applyFont="1"/>
    <xf numFmtId="0" fontId="15" fillId="0" borderId="1" xfId="0" applyFont="1" applyBorder="1" applyAlignment="1">
      <alignment wrapText="1"/>
    </xf>
    <xf numFmtId="49" fontId="15" fillId="3" borderId="1" xfId="0" applyNumberFormat="1" applyFont="1" applyFill="1" applyBorder="1" applyAlignment="1">
      <alignment horizontal="right" wrapText="1"/>
    </xf>
    <xf numFmtId="0" fontId="15" fillId="3" borderId="1" xfId="0" applyFont="1" applyFill="1" applyBorder="1" applyAlignment="1">
      <alignment wrapText="1"/>
    </xf>
    <xf numFmtId="164" fontId="15" fillId="3" borderId="1" xfId="0" applyNumberFormat="1" applyFont="1" applyFill="1" applyBorder="1" applyAlignment="1">
      <alignment wrapText="1"/>
    </xf>
    <xf numFmtId="164" fontId="15" fillId="0" borderId="3" xfId="0" applyNumberFormat="1" applyFont="1" applyBorder="1" applyAlignment="1">
      <alignment wrapText="1"/>
    </xf>
    <xf numFmtId="0" fontId="15" fillId="0" borderId="0" xfId="0" applyFont="1" applyAlignment="1">
      <alignment wrapText="1"/>
    </xf>
    <xf numFmtId="0" fontId="15" fillId="5" borderId="1" xfId="0" applyFont="1" applyFill="1" applyBorder="1"/>
    <xf numFmtId="49" fontId="15" fillId="0" borderId="1" xfId="0" applyNumberFormat="1" applyFont="1" applyBorder="1" applyAlignment="1" applyProtection="1">
      <alignment horizontal="right"/>
      <protection locked="0"/>
    </xf>
    <xf numFmtId="0" fontId="15" fillId="0" borderId="1" xfId="0" applyFont="1" applyBorder="1"/>
    <xf numFmtId="164" fontId="15" fillId="0" borderId="1" xfId="0" applyNumberFormat="1" applyFont="1" applyBorder="1"/>
    <xf numFmtId="2" fontId="15" fillId="0" borderId="1" xfId="0" applyNumberFormat="1" applyFont="1" applyBorder="1"/>
    <xf numFmtId="164" fontId="15" fillId="5" borderId="1" xfId="0" applyNumberFormat="1" applyFont="1" applyFill="1" applyBorder="1"/>
    <xf numFmtId="0" fontId="15" fillId="0" borderId="0" xfId="0" applyFont="1"/>
    <xf numFmtId="49" fontId="15" fillId="0" borderId="0" xfId="0" applyNumberFormat="1" applyFont="1" applyAlignment="1" applyProtection="1">
      <alignment horizontal="right"/>
      <protection locked="0"/>
    </xf>
    <xf numFmtId="0" fontId="15" fillId="0" borderId="2" xfId="0" applyFont="1" applyBorder="1"/>
    <xf numFmtId="49" fontId="15" fillId="0" borderId="2" xfId="0" applyNumberFormat="1" applyFont="1" applyBorder="1" applyAlignment="1" applyProtection="1">
      <alignment horizontal="right"/>
      <protection locked="0"/>
    </xf>
    <xf numFmtId="164" fontId="15" fillId="0" borderId="2" xfId="0" applyNumberFormat="1" applyFont="1" applyBorder="1"/>
    <xf numFmtId="0" fontId="15" fillId="0" borderId="0" xfId="0" applyFont="1" applyBorder="1"/>
    <xf numFmtId="0" fontId="18" fillId="0" borderId="0" xfId="0" applyFont="1"/>
    <xf numFmtId="49" fontId="18" fillId="0" borderId="0" xfId="0" applyNumberFormat="1" applyFont="1" applyAlignment="1" applyProtection="1">
      <alignment horizontal="right"/>
      <protection locked="0"/>
    </xf>
    <xf numFmtId="164" fontId="18" fillId="0" borderId="0" xfId="0" applyNumberFormat="1" applyFont="1"/>
    <xf numFmtId="0" fontId="18" fillId="0" borderId="0" xfId="0" applyFont="1" applyBorder="1"/>
    <xf numFmtId="0" fontId="19" fillId="0" borderId="1" xfId="0" applyFont="1" applyBorder="1" applyAlignment="1">
      <alignment wrapText="1"/>
    </xf>
    <xf numFmtId="49" fontId="15" fillId="0" borderId="1" xfId="0" applyNumberFormat="1" applyFont="1" applyBorder="1" applyAlignment="1">
      <alignment horizontal="right" wrapText="1"/>
    </xf>
    <xf numFmtId="0" fontId="15" fillId="0" borderId="1" xfId="0" applyFont="1" applyBorder="1" applyAlignment="1" applyProtection="1">
      <alignment wrapText="1"/>
      <protection locked="0"/>
    </xf>
    <xf numFmtId="164" fontId="15" fillId="0" borderId="1" xfId="0" applyNumberFormat="1" applyFont="1" applyBorder="1" applyAlignment="1">
      <alignment wrapText="1"/>
    </xf>
    <xf numFmtId="165" fontId="20" fillId="5" borderId="1" xfId="0" applyNumberFormat="1" applyFont="1" applyFill="1" applyBorder="1"/>
    <xf numFmtId="165" fontId="21" fillId="0" borderId="0" xfId="0" applyNumberFormat="1" applyFont="1"/>
    <xf numFmtId="0" fontId="15" fillId="5" borderId="1" xfId="0" applyFont="1" applyFill="1" applyBorder="1" applyAlignment="1">
      <alignment wrapText="1"/>
    </xf>
    <xf numFmtId="49" fontId="15" fillId="0" borderId="1" xfId="0" applyNumberFormat="1" applyFont="1" applyBorder="1" applyAlignment="1" applyProtection="1">
      <alignment horizontal="right" wrapText="1"/>
      <protection locked="0"/>
    </xf>
    <xf numFmtId="165" fontId="15" fillId="5" borderId="1" xfId="0" applyNumberFormat="1" applyFont="1" applyFill="1" applyBorder="1" applyAlignment="1">
      <alignment wrapText="1"/>
    </xf>
    <xf numFmtId="165" fontId="21" fillId="0" borderId="1" xfId="0" applyNumberFormat="1" applyFont="1" applyBorder="1"/>
    <xf numFmtId="165" fontId="15" fillId="0" borderId="1" xfId="0" applyNumberFormat="1" applyFont="1" applyBorder="1"/>
    <xf numFmtId="49" fontId="15" fillId="0" borderId="0" xfId="0" applyNumberFormat="1" applyFont="1" applyBorder="1" applyAlignment="1" applyProtection="1">
      <alignment horizontal="right"/>
      <protection locked="0"/>
    </xf>
    <xf numFmtId="164" fontId="15" fillId="0" borderId="0" xfId="0" applyNumberFormat="1" applyFont="1" applyBorder="1"/>
    <xf numFmtId="165" fontId="15" fillId="0" borderId="0" xfId="0" applyNumberFormat="1" applyFont="1" applyBorder="1"/>
    <xf numFmtId="2" fontId="15" fillId="0" borderId="0" xfId="0" applyNumberFormat="1" applyFont="1"/>
    <xf numFmtId="0" fontId="20" fillId="0" borderId="0" xfId="0" applyFont="1"/>
    <xf numFmtId="165" fontId="15" fillId="0" borderId="1" xfId="0" applyNumberFormat="1" applyFont="1" applyFill="1" applyBorder="1" applyAlignment="1">
      <alignment horizontal="right"/>
    </xf>
    <xf numFmtId="8" fontId="15" fillId="5" borderId="1" xfId="0" applyNumberFormat="1" applyFont="1" applyFill="1" applyBorder="1"/>
    <xf numFmtId="0" fontId="19" fillId="0" borderId="1" xfId="0" applyFont="1" applyBorder="1"/>
    <xf numFmtId="165" fontId="15" fillId="0" borderId="1" xfId="0" applyNumberFormat="1" applyFont="1" applyFill="1" applyBorder="1" applyAlignment="1">
      <alignment horizontal="left"/>
    </xf>
    <xf numFmtId="165" fontId="15" fillId="3" borderId="1" xfId="0" applyNumberFormat="1" applyFont="1" applyFill="1" applyBorder="1" applyAlignment="1">
      <alignment horizontal="left"/>
    </xf>
    <xf numFmtId="8" fontId="15" fillId="0" borderId="1" xfId="0" applyNumberFormat="1" applyFont="1" applyBorder="1"/>
    <xf numFmtId="0" fontId="8" fillId="0" borderId="1" xfId="0" applyFont="1" applyBorder="1"/>
    <xf numFmtId="165" fontId="8" fillId="0" borderId="1" xfId="0" applyNumberFormat="1" applyFont="1" applyBorder="1" applyAlignment="1">
      <alignment horizontal="right"/>
    </xf>
    <xf numFmtId="8" fontId="20" fillId="0" borderId="1" xfId="0" applyNumberFormat="1" applyFont="1" applyBorder="1"/>
    <xf numFmtId="0" fontId="22" fillId="0" borderId="0" xfId="0" applyFont="1"/>
    <xf numFmtId="8" fontId="15" fillId="0" borderId="0" xfId="0" applyNumberFormat="1" applyFont="1"/>
    <xf numFmtId="0" fontId="15" fillId="5" borderId="0" xfId="0" applyFont="1" applyFill="1" applyBorder="1"/>
    <xf numFmtId="165" fontId="15" fillId="5" borderId="0" xfId="0" applyNumberFormat="1" applyFont="1" applyFill="1" applyBorder="1" applyAlignment="1">
      <alignment horizontal="right"/>
    </xf>
    <xf numFmtId="8" fontId="15" fillId="5" borderId="0" xfId="0" applyNumberFormat="1" applyFont="1" applyFill="1"/>
    <xf numFmtId="0" fontId="23" fillId="0" borderId="0" xfId="0" applyFont="1" applyAlignment="1">
      <alignment horizontal="center" wrapText="1"/>
    </xf>
    <xf numFmtId="0" fontId="15" fillId="0" borderId="0" xfId="0" applyFont="1" applyAlignment="1">
      <alignment horizontal="left"/>
    </xf>
    <xf numFmtId="164" fontId="15" fillId="0" borderId="0" xfId="0" applyNumberFormat="1" applyFont="1" applyAlignment="1">
      <alignment/>
    </xf>
    <xf numFmtId="0" fontId="5" fillId="0" borderId="5" xfId="0" applyFont="1" applyBorder="1" applyAlignment="1">
      <alignment horizontal="center"/>
    </xf>
    <xf numFmtId="165" fontId="0" fillId="5" borderId="0" xfId="0" applyNumberFormat="1" applyFont="1" applyFill="1"/>
    <xf numFmtId="0" fontId="24" fillId="0" borderId="5" xfId="0" applyFont="1" applyBorder="1" applyAlignment="1">
      <alignment horizontal="center"/>
    </xf>
    <xf numFmtId="166" fontId="24" fillId="0" borderId="1" xfId="0" applyNumberFormat="1" applyFont="1" applyBorder="1" applyAlignment="1">
      <alignment horizontal="center"/>
    </xf>
    <xf numFmtId="165" fontId="24" fillId="0" borderId="1" xfId="0" applyNumberFormat="1" applyFont="1" applyBorder="1"/>
    <xf numFmtId="165" fontId="24" fillId="0" borderId="1" xfId="0" applyNumberFormat="1" applyFont="1" applyBorder="1" applyAlignment="1">
      <alignment horizontal="right"/>
    </xf>
    <xf numFmtId="0" fontId="25" fillId="0" borderId="1" xfId="0" applyFont="1" applyBorder="1" applyAlignment="1">
      <alignment horizontal="center"/>
    </xf>
    <xf numFmtId="0" fontId="25" fillId="0" borderId="1" xfId="0" applyFont="1" applyBorder="1"/>
    <xf numFmtId="0" fontId="24" fillId="0" borderId="1" xfId="0" applyFont="1" applyBorder="1"/>
    <xf numFmtId="164" fontId="25" fillId="0" borderId="1" xfId="0" applyNumberFormat="1" applyFont="1" applyBorder="1"/>
    <xf numFmtId="165" fontId="25" fillId="0" borderId="1" xfId="0" applyNumberFormat="1" applyFont="1" applyBorder="1"/>
    <xf numFmtId="166" fontId="25" fillId="0" borderId="1" xfId="0" applyNumberFormat="1" applyFont="1" applyBorder="1"/>
    <xf numFmtId="2" fontId="25" fillId="0" borderId="1" xfId="0" applyNumberFormat="1" applyFont="1" applyBorder="1"/>
    <xf numFmtId="0" fontId="25" fillId="0" borderId="0" xfId="0" applyFont="1"/>
    <xf numFmtId="0" fontId="25" fillId="5" borderId="0" xfId="0" applyFont="1" applyFill="1"/>
    <xf numFmtId="165" fontId="25" fillId="5" borderId="0" xfId="0" applyNumberFormat="1" applyFont="1" applyFill="1"/>
    <xf numFmtId="2" fontId="24" fillId="0" borderId="1" xfId="0" applyNumberFormat="1" applyFont="1" applyBorder="1"/>
    <xf numFmtId="166" fontId="9" fillId="0" borderId="1" xfId="0" applyNumberFormat="1" applyFont="1" applyBorder="1" applyAlignment="1">
      <alignment horizontal="center"/>
    </xf>
    <xf numFmtId="2" fontId="9" fillId="0" borderId="1" xfId="0" applyNumberFormat="1" applyFont="1" applyBorder="1" applyAlignment="1">
      <alignment horizontal="right"/>
    </xf>
    <xf numFmtId="165" fontId="9" fillId="0" borderId="1" xfId="0" applyNumberFormat="1" applyFont="1" applyBorder="1" applyAlignment="1">
      <alignment horizontal="right"/>
    </xf>
    <xf numFmtId="0" fontId="9" fillId="0" borderId="1" xfId="0" applyFont="1" applyBorder="1" applyAlignment="1">
      <alignment horizontal="right"/>
    </xf>
    <xf numFmtId="164" fontId="9" fillId="0" borderId="1" xfId="0" applyNumberFormat="1" applyFont="1" applyBorder="1" applyAlignment="1">
      <alignment horizontal="right"/>
    </xf>
    <xf numFmtId="2" fontId="9" fillId="0" borderId="1" xfId="0" applyNumberFormat="1" applyFont="1" applyBorder="1"/>
    <xf numFmtId="165" fontId="26" fillId="0" borderId="1" xfId="0" applyNumberFormat="1" applyFont="1" applyBorder="1"/>
    <xf numFmtId="165" fontId="25" fillId="0" borderId="1" xfId="0" applyNumberFormat="1" applyFont="1" applyBorder="1" applyAlignment="1">
      <alignment horizontal="right"/>
    </xf>
    <xf numFmtId="164" fontId="26" fillId="0" borderId="1" xfId="0" applyNumberFormat="1" applyFont="1" applyBorder="1"/>
    <xf numFmtId="166" fontId="26" fillId="2" borderId="1" xfId="0" applyNumberFormat="1" applyFont="1" applyFill="1" applyBorder="1"/>
    <xf numFmtId="165" fontId="25" fillId="2" borderId="1" xfId="0" applyNumberFormat="1" applyFont="1" applyFill="1" applyBorder="1"/>
    <xf numFmtId="165" fontId="26" fillId="2" borderId="1" xfId="0" applyNumberFormat="1" applyFont="1" applyFill="1" applyBorder="1"/>
    <xf numFmtId="166" fontId="26" fillId="2" borderId="0" xfId="0" applyNumberFormat="1" applyFont="1" applyFill="1" applyBorder="1"/>
    <xf numFmtId="2" fontId="26" fillId="0" borderId="0" xfId="0" applyNumberFormat="1" applyFont="1" applyBorder="1"/>
    <xf numFmtId="165" fontId="25" fillId="0" borderId="0" xfId="0" applyNumberFormat="1" applyFont="1" applyBorder="1"/>
    <xf numFmtId="165" fontId="25" fillId="2" borderId="0" xfId="0" applyNumberFormat="1" applyFont="1" applyFill="1" applyBorder="1"/>
    <xf numFmtId="165" fontId="27" fillId="2" borderId="1" xfId="0" applyNumberFormat="1" applyFont="1" applyFill="1" applyBorder="1"/>
    <xf numFmtId="166" fontId="25" fillId="0" borderId="0" xfId="0" applyNumberFormat="1" applyFont="1"/>
    <xf numFmtId="2" fontId="25" fillId="0" borderId="0" xfId="0" applyNumberFormat="1" applyFont="1"/>
    <xf numFmtId="165" fontId="25" fillId="0" borderId="0" xfId="0" applyNumberFormat="1" applyFont="1"/>
    <xf numFmtId="165" fontId="25" fillId="0" borderId="0" xfId="0" applyNumberFormat="1" applyFont="1" applyFill="1"/>
    <xf numFmtId="8" fontId="25" fillId="0" borderId="0" xfId="0" applyNumberFormat="1" applyFont="1"/>
    <xf numFmtId="167" fontId="25" fillId="0" borderId="0" xfId="0" applyNumberFormat="1" applyFont="1" applyFill="1"/>
    <xf numFmtId="0" fontId="25" fillId="6" borderId="0" xfId="0" applyFont="1" applyFill="1" applyAlignment="1">
      <alignment horizontal="center" wrapText="1"/>
    </xf>
    <xf numFmtId="164" fontId="25" fillId="0" borderId="0" xfId="0" applyNumberFormat="1" applyFont="1"/>
    <xf numFmtId="0" fontId="5" fillId="0" borderId="6" xfId="0" applyFont="1" applyBorder="1" applyAlignment="1">
      <alignment horizontal="left"/>
    </xf>
    <xf numFmtId="0" fontId="5" fillId="0" borderId="0" xfId="0" applyFont="1" applyAlignment="1">
      <alignment horizontal="left"/>
    </xf>
    <xf numFmtId="166" fontId="8" fillId="2" borderId="1" xfId="0" applyNumberFormat="1" applyFont="1" applyFill="1" applyBorder="1"/>
    <xf numFmtId="166" fontId="5" fillId="0" borderId="3" xfId="0" applyNumberFormat="1" applyFont="1" applyBorder="1" applyAlignment="1">
      <alignment horizontal="left"/>
    </xf>
    <xf numFmtId="166" fontId="5" fillId="0" borderId="7" xfId="0" applyNumberFormat="1" applyFont="1" applyBorder="1" applyAlignment="1">
      <alignment horizontal="left"/>
    </xf>
    <xf numFmtId="166" fontId="5" fillId="0" borderId="4" xfId="0" applyNumberFormat="1" applyFont="1" applyBorder="1" applyAlignment="1">
      <alignment horizontal="left"/>
    </xf>
    <xf numFmtId="164" fontId="5" fillId="0" borderId="1" xfId="0" applyNumberFormat="1" applyFont="1" applyBorder="1"/>
    <xf numFmtId="0" fontId="0" fillId="0" borderId="0" xfId="0" applyAlignment="1">
      <alignment horizontal="left" vertical="center"/>
    </xf>
    <xf numFmtId="0" fontId="0" fillId="0" borderId="0" xfId="0" applyAlignment="1">
      <alignment wrapText="1"/>
    </xf>
    <xf numFmtId="0" fontId="0" fillId="0" borderId="0" xfId="0" applyAlignment="1">
      <alignment/>
    </xf>
    <xf numFmtId="2" fontId="5" fillId="0" borderId="1" xfId="0" applyNumberFormat="1" applyFont="1" applyBorder="1"/>
    <xf numFmtId="166" fontId="20" fillId="0" borderId="1" xfId="0" applyNumberFormat="1" applyFont="1" applyBorder="1" applyAlignment="1">
      <alignment horizontal="center"/>
    </xf>
    <xf numFmtId="2" fontId="20" fillId="0" borderId="1" xfId="0" applyNumberFormat="1" applyFont="1" applyBorder="1" applyAlignment="1">
      <alignment horizontal="right"/>
    </xf>
    <xf numFmtId="165" fontId="20" fillId="0" borderId="1" xfId="0" applyNumberFormat="1" applyFont="1" applyBorder="1" applyAlignment="1">
      <alignment horizontal="right"/>
    </xf>
    <xf numFmtId="0" fontId="20" fillId="0" borderId="1" xfId="0" applyFont="1" applyBorder="1" applyAlignment="1">
      <alignment horizontal="right"/>
    </xf>
    <xf numFmtId="2" fontId="20" fillId="0" borderId="1" xfId="0" applyNumberFormat="1" applyFont="1" applyBorder="1"/>
    <xf numFmtId="165" fontId="20" fillId="0" borderId="1" xfId="0" applyNumberFormat="1" applyFont="1" applyBorder="1"/>
    <xf numFmtId="0" fontId="20" fillId="0" borderId="1" xfId="0" applyFont="1" applyBorder="1"/>
    <xf numFmtId="165" fontId="8" fillId="0" borderId="1" xfId="0" applyNumberFormat="1" applyFont="1" applyBorder="1"/>
    <xf numFmtId="3" fontId="0" fillId="0" borderId="1" xfId="0" applyNumberFormat="1" applyFont="1" applyBorder="1"/>
    <xf numFmtId="165" fontId="8" fillId="2" borderId="1" xfId="0" applyNumberFormat="1" applyFont="1" applyFill="1" applyBorder="1"/>
    <xf numFmtId="166" fontId="8" fillId="2" borderId="0" xfId="0" applyNumberFormat="1" applyFont="1" applyFill="1" applyBorder="1"/>
    <xf numFmtId="2" fontId="8" fillId="0" borderId="0" xfId="0" applyNumberFormat="1" applyFont="1" applyBorder="1"/>
    <xf numFmtId="165" fontId="0" fillId="0" borderId="0" xfId="0" applyNumberFormat="1" applyFont="1" applyBorder="1"/>
    <xf numFmtId="165" fontId="0" fillId="2" borderId="0" xfId="0" applyNumberFormat="1" applyFont="1" applyFill="1" applyBorder="1"/>
    <xf numFmtId="165" fontId="11" fillId="2" borderId="1" xfId="0" applyNumberFormat="1" applyFont="1" applyFill="1" applyBorder="1"/>
    <xf numFmtId="166" fontId="0" fillId="0" borderId="0" xfId="0" applyNumberFormat="1" applyFont="1"/>
    <xf numFmtId="2" fontId="0" fillId="0" borderId="0" xfId="0" applyNumberFormat="1" applyFont="1"/>
    <xf numFmtId="165" fontId="0" fillId="0" borderId="0" xfId="0" applyNumberFormat="1" applyFont="1"/>
    <xf numFmtId="0" fontId="0"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view="pageLayout" workbookViewId="0" topLeftCell="A1">
      <selection activeCell="D27" sqref="D27"/>
    </sheetView>
  </sheetViews>
  <sheetFormatPr defaultColWidth="9.140625" defaultRowHeight="15"/>
  <cols>
    <col min="1" max="1" width="20.57421875" style="1" customWidth="1"/>
    <col min="2" max="2" width="11.28125" style="44" customWidth="1"/>
    <col min="3" max="3" width="14.00390625" style="1" customWidth="1"/>
    <col min="4" max="4" width="13.28125" style="1" customWidth="1"/>
    <col min="5" max="6" width="16.140625" style="41" customWidth="1"/>
    <col min="7" max="7" width="15.140625" style="41" customWidth="1"/>
    <col min="8" max="8" width="11.421875" style="1" customWidth="1"/>
    <col min="9" max="16384" width="9.140625" style="1" customWidth="1"/>
  </cols>
  <sheetData>
    <row r="1" spans="1:8" s="75" customFormat="1" ht="28.5">
      <c r="A1" s="74" t="s">
        <v>73</v>
      </c>
      <c r="B1" s="74"/>
      <c r="C1" s="74"/>
      <c r="D1" s="74"/>
      <c r="E1" s="74"/>
      <c r="F1" s="74"/>
      <c r="G1" s="74"/>
      <c r="H1" s="74"/>
    </row>
    <row r="2" spans="1:8" s="75" customFormat="1" ht="18.75" customHeight="1">
      <c r="A2" s="76"/>
      <c r="B2" s="76"/>
      <c r="C2" s="76"/>
      <c r="D2" s="76"/>
      <c r="E2" s="76"/>
      <c r="F2" s="76"/>
      <c r="G2" s="76"/>
      <c r="H2" s="76"/>
    </row>
    <row r="3" spans="1:7" s="80" customFormat="1" ht="15">
      <c r="A3" s="140" t="s">
        <v>42</v>
      </c>
      <c r="B3" s="78" t="s">
        <v>1</v>
      </c>
      <c r="C3" s="42"/>
      <c r="D3" s="42"/>
      <c r="E3" s="77"/>
      <c r="F3" s="141" t="s">
        <v>95</v>
      </c>
      <c r="G3" s="79" t="s">
        <v>1</v>
      </c>
    </row>
    <row r="4" spans="1:7" s="80" customFormat="1" ht="15">
      <c r="A4" s="140" t="s">
        <v>43</v>
      </c>
      <c r="B4" s="81" t="s">
        <v>1</v>
      </c>
      <c r="C4" s="43"/>
      <c r="D4" s="43"/>
      <c r="E4" s="43"/>
      <c r="F4" s="141" t="s">
        <v>44</v>
      </c>
      <c r="G4" s="80" t="s">
        <v>1</v>
      </c>
    </row>
    <row r="5" spans="1:7" s="80" customFormat="1" ht="15">
      <c r="A5" s="140" t="s">
        <v>45</v>
      </c>
      <c r="B5" s="82" t="s">
        <v>1</v>
      </c>
      <c r="C5" s="77"/>
      <c r="D5" s="77"/>
      <c r="E5" s="77"/>
      <c r="F5" s="141" t="s">
        <v>46</v>
      </c>
      <c r="G5" s="83" t="s">
        <v>1</v>
      </c>
    </row>
    <row r="6" spans="1:7" s="80" customFormat="1" ht="15">
      <c r="A6" s="140" t="s">
        <v>114</v>
      </c>
      <c r="B6" s="84" t="s">
        <v>1</v>
      </c>
      <c r="C6" s="77"/>
      <c r="D6" s="77"/>
      <c r="E6" s="77"/>
      <c r="F6" s="141" t="s">
        <v>113</v>
      </c>
      <c r="G6" s="80" t="s">
        <v>1</v>
      </c>
    </row>
    <row r="7" spans="1:7" s="80" customFormat="1" ht="15">
      <c r="A7" s="77"/>
      <c r="B7" s="77"/>
      <c r="C7" s="77"/>
      <c r="D7" s="77"/>
      <c r="E7" s="77"/>
      <c r="F7" s="77"/>
      <c r="G7" s="85"/>
    </row>
    <row r="8" ht="23.25">
      <c r="A8" s="86" t="s">
        <v>8</v>
      </c>
    </row>
    <row r="9" spans="1:7" s="50" customFormat="1" ht="30">
      <c r="A9" s="45" t="s">
        <v>17</v>
      </c>
      <c r="B9" s="46">
        <v>35919</v>
      </c>
      <c r="C9" s="47" t="s">
        <v>41</v>
      </c>
      <c r="D9" s="47" t="s">
        <v>1</v>
      </c>
      <c r="E9" s="48"/>
      <c r="F9" s="49"/>
      <c r="G9" s="49"/>
    </row>
    <row r="10" spans="2:5" ht="15">
      <c r="B10" s="51"/>
      <c r="C10" s="52"/>
      <c r="D10" s="52"/>
      <c r="E10" s="53"/>
    </row>
    <row r="11" spans="1:8" s="92" customFormat="1" ht="45">
      <c r="A11" s="87"/>
      <c r="B11" s="88" t="s">
        <v>2</v>
      </c>
      <c r="C11" s="89"/>
      <c r="D11" s="89" t="s">
        <v>37</v>
      </c>
      <c r="E11" s="90" t="s">
        <v>3</v>
      </c>
      <c r="F11" s="91" t="s">
        <v>35</v>
      </c>
      <c r="G11" s="87" t="s">
        <v>36</v>
      </c>
      <c r="H11" s="87" t="s">
        <v>0</v>
      </c>
    </row>
    <row r="12" spans="1:8" ht="15">
      <c r="A12" s="3"/>
      <c r="B12" s="20" t="s">
        <v>97</v>
      </c>
      <c r="C12" s="21"/>
      <c r="D12" s="54">
        <v>0</v>
      </c>
      <c r="E12" s="55">
        <v>90</v>
      </c>
      <c r="F12" s="7">
        <f aca="true" t="shared" si="0" ref="F12:F24">SUM(E12/1826)</f>
        <v>0.0493</v>
      </c>
      <c r="G12" s="2">
        <f aca="true" t="shared" si="1" ref="G12:G26">SUM(D12+F12)</f>
        <v>0.0493</v>
      </c>
      <c r="H12" s="3">
        <v>1</v>
      </c>
    </row>
    <row r="13" spans="1:8" ht="15">
      <c r="A13" s="3"/>
      <c r="B13" s="20" t="s">
        <v>98</v>
      </c>
      <c r="C13" s="21"/>
      <c r="D13" s="54">
        <v>0</v>
      </c>
      <c r="E13" s="55">
        <v>788.2</v>
      </c>
      <c r="F13" s="7">
        <f t="shared" si="0"/>
        <v>0.4317</v>
      </c>
      <c r="G13" s="2">
        <f t="shared" si="1"/>
        <v>0.4317</v>
      </c>
      <c r="H13" s="3">
        <v>1</v>
      </c>
    </row>
    <row r="14" spans="1:8" ht="15">
      <c r="A14" s="3"/>
      <c r="B14" s="20" t="s">
        <v>99</v>
      </c>
      <c r="C14" s="21"/>
      <c r="D14" s="54">
        <v>0</v>
      </c>
      <c r="E14" s="55">
        <v>715.2</v>
      </c>
      <c r="F14" s="7">
        <f t="shared" si="0"/>
        <v>0.3917</v>
      </c>
      <c r="G14" s="2">
        <f t="shared" si="1"/>
        <v>0.3917</v>
      </c>
      <c r="H14" s="3">
        <v>1</v>
      </c>
    </row>
    <row r="15" spans="1:8" ht="15">
      <c r="A15" s="3"/>
      <c r="B15" s="20" t="s">
        <v>100</v>
      </c>
      <c r="C15" s="21"/>
      <c r="D15" s="54">
        <v>0</v>
      </c>
      <c r="E15" s="55">
        <v>760.2</v>
      </c>
      <c r="F15" s="7">
        <f t="shared" si="0"/>
        <v>0.4163</v>
      </c>
      <c r="G15" s="2">
        <f t="shared" si="1"/>
        <v>0.4163</v>
      </c>
      <c r="H15" s="3">
        <v>1</v>
      </c>
    </row>
    <row r="16" spans="1:8" ht="15">
      <c r="A16" s="3"/>
      <c r="B16" s="20" t="s">
        <v>101</v>
      </c>
      <c r="C16" s="21"/>
      <c r="D16" s="54">
        <v>0</v>
      </c>
      <c r="E16" s="55">
        <v>745.21</v>
      </c>
      <c r="F16" s="7">
        <f t="shared" si="0"/>
        <v>0.4081</v>
      </c>
      <c r="G16" s="2">
        <f t="shared" si="1"/>
        <v>0.4081</v>
      </c>
      <c r="H16" s="3">
        <v>1</v>
      </c>
    </row>
    <row r="17" spans="1:8" ht="15">
      <c r="A17" s="3"/>
      <c r="B17" s="20" t="s">
        <v>102</v>
      </c>
      <c r="C17" s="56"/>
      <c r="D17" s="54">
        <v>0</v>
      </c>
      <c r="E17" s="55">
        <v>739.16</v>
      </c>
      <c r="F17" s="7">
        <f t="shared" si="0"/>
        <v>0.4048</v>
      </c>
      <c r="G17" s="2">
        <f t="shared" si="1"/>
        <v>0.4048</v>
      </c>
      <c r="H17" s="3">
        <v>1</v>
      </c>
    </row>
    <row r="18" spans="1:8" ht="15">
      <c r="A18" s="3" t="s">
        <v>1</v>
      </c>
      <c r="B18" s="20" t="s">
        <v>103</v>
      </c>
      <c r="C18" s="21"/>
      <c r="D18" s="54">
        <v>0.3746</v>
      </c>
      <c r="E18" s="55">
        <v>7.48</v>
      </c>
      <c r="F18" s="7">
        <f t="shared" si="0"/>
        <v>0.0041</v>
      </c>
      <c r="G18" s="2">
        <f t="shared" si="1"/>
        <v>0.3787</v>
      </c>
      <c r="H18" s="3">
        <v>1</v>
      </c>
    </row>
    <row r="19" spans="1:9" ht="15">
      <c r="A19" s="3" t="s">
        <v>1</v>
      </c>
      <c r="B19" s="20" t="s">
        <v>104</v>
      </c>
      <c r="C19" s="21"/>
      <c r="D19" s="54">
        <v>0.377</v>
      </c>
      <c r="E19" s="55">
        <v>19.2</v>
      </c>
      <c r="F19" s="7">
        <f t="shared" si="0"/>
        <v>0.0105</v>
      </c>
      <c r="G19" s="2">
        <f t="shared" si="1"/>
        <v>0.3875</v>
      </c>
      <c r="H19" s="3">
        <v>1</v>
      </c>
      <c r="I19" s="1" t="s">
        <v>1</v>
      </c>
    </row>
    <row r="20" spans="1:8" ht="15">
      <c r="A20" s="3"/>
      <c r="B20" s="20" t="s">
        <v>105</v>
      </c>
      <c r="C20" s="21"/>
      <c r="D20" s="54">
        <v>0.3769</v>
      </c>
      <c r="E20" s="55">
        <v>56.29</v>
      </c>
      <c r="F20" s="7">
        <f t="shared" si="0"/>
        <v>0.0308</v>
      </c>
      <c r="G20" s="2">
        <f t="shared" si="1"/>
        <v>0.4077</v>
      </c>
      <c r="H20" s="3">
        <v>1</v>
      </c>
    </row>
    <row r="21" spans="1:8" ht="15">
      <c r="A21" s="3"/>
      <c r="B21" s="20" t="s">
        <v>106</v>
      </c>
      <c r="C21" s="21"/>
      <c r="D21" s="54">
        <v>0.3793</v>
      </c>
      <c r="E21" s="55">
        <v>55.2</v>
      </c>
      <c r="F21" s="7">
        <f t="shared" si="0"/>
        <v>0.0302</v>
      </c>
      <c r="G21" s="2">
        <f t="shared" si="1"/>
        <v>0.4095</v>
      </c>
      <c r="H21" s="3">
        <v>1</v>
      </c>
    </row>
    <row r="22" spans="1:8" ht="15">
      <c r="A22" s="3"/>
      <c r="B22" s="20" t="s">
        <v>107</v>
      </c>
      <c r="C22" s="21"/>
      <c r="D22" s="54">
        <v>0.3793</v>
      </c>
      <c r="E22" s="55">
        <v>55.2</v>
      </c>
      <c r="F22" s="7">
        <f t="shared" si="0"/>
        <v>0.0302</v>
      </c>
      <c r="G22" s="2">
        <f t="shared" si="1"/>
        <v>0.4095</v>
      </c>
      <c r="H22" s="3">
        <v>1</v>
      </c>
    </row>
    <row r="23" spans="1:8" ht="15">
      <c r="A23" s="3"/>
      <c r="B23" s="20" t="s">
        <v>108</v>
      </c>
      <c r="C23" s="21"/>
      <c r="D23" s="54">
        <v>0.4028</v>
      </c>
      <c r="E23" s="55">
        <v>58.8</v>
      </c>
      <c r="F23" s="7">
        <f t="shared" si="0"/>
        <v>0.0322</v>
      </c>
      <c r="G23" s="2">
        <f t="shared" si="1"/>
        <v>0.435</v>
      </c>
      <c r="H23" s="3">
        <v>1</v>
      </c>
    </row>
    <row r="24" spans="1:8" ht="15">
      <c r="A24" s="3"/>
      <c r="B24" s="20" t="s">
        <v>109</v>
      </c>
      <c r="C24" s="21"/>
      <c r="D24" s="54">
        <v>0.3793</v>
      </c>
      <c r="E24" s="55">
        <v>52.8</v>
      </c>
      <c r="F24" s="7">
        <f t="shared" si="0"/>
        <v>0.0289</v>
      </c>
      <c r="G24" s="2">
        <f t="shared" si="1"/>
        <v>0.4082</v>
      </c>
      <c r="H24" s="3">
        <v>1</v>
      </c>
    </row>
    <row r="25" spans="1:8" ht="15">
      <c r="A25" s="3"/>
      <c r="B25" s="20" t="s">
        <v>110</v>
      </c>
      <c r="C25" s="56"/>
      <c r="D25" s="54">
        <v>0.4709</v>
      </c>
      <c r="E25" s="55">
        <v>60.9</v>
      </c>
      <c r="F25" s="7">
        <f>SUM(E25/1931)</f>
        <v>0.0315</v>
      </c>
      <c r="G25" s="2">
        <f t="shared" si="1"/>
        <v>0.5024</v>
      </c>
      <c r="H25" s="3">
        <v>1</v>
      </c>
    </row>
    <row r="26" spans="1:8" ht="15">
      <c r="A26" s="3"/>
      <c r="B26" s="20" t="s">
        <v>111</v>
      </c>
      <c r="C26" s="56"/>
      <c r="D26" s="54">
        <v>0.6503</v>
      </c>
      <c r="E26" s="55">
        <v>0</v>
      </c>
      <c r="F26" s="7">
        <f>SUM(E26/1931)</f>
        <v>0</v>
      </c>
      <c r="G26" s="2">
        <f t="shared" si="1"/>
        <v>0.6503</v>
      </c>
      <c r="H26" s="3">
        <v>1</v>
      </c>
    </row>
    <row r="27" spans="1:8" ht="15">
      <c r="A27" s="3"/>
      <c r="B27" s="20" t="s">
        <v>112</v>
      </c>
      <c r="C27" s="56"/>
      <c r="D27" s="54">
        <v>0.6503</v>
      </c>
      <c r="E27" s="55">
        <v>0</v>
      </c>
      <c r="F27" s="7">
        <f>SUM(E27/1931)</f>
        <v>0</v>
      </c>
      <c r="G27" s="2">
        <f>SUM(D27+F27)</f>
        <v>0.6503</v>
      </c>
      <c r="H27" s="3">
        <v>1</v>
      </c>
    </row>
    <row r="28" spans="1:8" s="99" customFormat="1" ht="15">
      <c r="A28" s="93" t="s">
        <v>4</v>
      </c>
      <c r="B28" s="94"/>
      <c r="C28" s="95"/>
      <c r="D28" s="96"/>
      <c r="E28" s="97" t="s">
        <v>1</v>
      </c>
      <c r="F28" s="96"/>
      <c r="G28" s="98">
        <f>SUM(G12:G27)</f>
        <v>6.741</v>
      </c>
      <c r="H28" s="98">
        <f>SUM(H12:H27)</f>
        <v>16</v>
      </c>
    </row>
    <row r="29" spans="2:7" s="99" customFormat="1" ht="15">
      <c r="B29" s="100"/>
      <c r="E29" s="85"/>
      <c r="F29" s="85"/>
      <c r="G29" s="85"/>
    </row>
    <row r="30" spans="1:9" s="99" customFormat="1" ht="15.75" thickBot="1">
      <c r="A30" s="101"/>
      <c r="B30" s="102"/>
      <c r="C30" s="101"/>
      <c r="D30" s="101"/>
      <c r="E30" s="103"/>
      <c r="F30" s="103"/>
      <c r="G30" s="103"/>
      <c r="H30" s="101"/>
      <c r="I30" s="104"/>
    </row>
    <row r="31" spans="1:9" s="105" customFormat="1" ht="34.5" thickTop="1">
      <c r="A31" s="105" t="s">
        <v>25</v>
      </c>
      <c r="B31" s="106"/>
      <c r="E31" s="107"/>
      <c r="F31" s="107"/>
      <c r="G31" s="107"/>
      <c r="I31" s="108"/>
    </row>
    <row r="32" spans="2:7" s="99" customFormat="1" ht="15">
      <c r="B32" s="100"/>
      <c r="E32" s="85"/>
      <c r="F32" s="85"/>
      <c r="G32" s="85"/>
    </row>
    <row r="33" ht="15">
      <c r="B33" s="57"/>
    </row>
    <row r="34" spans="1:8" s="92" customFormat="1" ht="45">
      <c r="A34" s="109" t="s">
        <v>26</v>
      </c>
      <c r="B34" s="110"/>
      <c r="C34" s="111" t="s">
        <v>17</v>
      </c>
      <c r="D34" s="112" t="s">
        <v>18</v>
      </c>
      <c r="E34" s="112"/>
      <c r="F34" s="112"/>
      <c r="G34" s="87" t="s">
        <v>13</v>
      </c>
      <c r="H34" s="112" t="s">
        <v>14</v>
      </c>
    </row>
    <row r="35" spans="1:8" ht="15">
      <c r="A35" s="3"/>
      <c r="B35" s="20" t="s">
        <v>97</v>
      </c>
      <c r="C35" s="58">
        <f aca="true" t="shared" si="2" ref="C35:C50">$B$9</f>
        <v>35919</v>
      </c>
      <c r="D35" s="5">
        <f aca="true" t="shared" si="3" ref="D35:D50">SUM(C35*G12)</f>
        <v>1770.81</v>
      </c>
      <c r="E35" s="2"/>
      <c r="F35" s="59"/>
      <c r="G35" s="6">
        <f aca="true" t="shared" si="4" ref="G35:G50">SUM(H12)</f>
        <v>1</v>
      </c>
      <c r="H35" s="59">
        <f aca="true" t="shared" si="5" ref="H35:H50">SUM(D35*G35)*0.0375</f>
        <v>66.41</v>
      </c>
    </row>
    <row r="36" spans="1:8" ht="15">
      <c r="A36" s="3"/>
      <c r="B36" s="20" t="s">
        <v>98</v>
      </c>
      <c r="C36" s="58">
        <f t="shared" si="2"/>
        <v>35919</v>
      </c>
      <c r="D36" s="5">
        <f t="shared" si="3"/>
        <v>15506.23</v>
      </c>
      <c r="E36" s="2"/>
      <c r="F36" s="2"/>
      <c r="G36" s="6">
        <f t="shared" si="4"/>
        <v>1</v>
      </c>
      <c r="H36" s="59">
        <f t="shared" si="5"/>
        <v>581.48</v>
      </c>
    </row>
    <row r="37" spans="1:8" ht="15">
      <c r="A37" s="3"/>
      <c r="B37" s="20" t="s">
        <v>99</v>
      </c>
      <c r="C37" s="58">
        <f t="shared" si="2"/>
        <v>35919</v>
      </c>
      <c r="D37" s="5">
        <f t="shared" si="3"/>
        <v>14069.47</v>
      </c>
      <c r="E37" s="2"/>
      <c r="F37" s="2"/>
      <c r="G37" s="6">
        <f t="shared" si="4"/>
        <v>1</v>
      </c>
      <c r="H37" s="59">
        <f t="shared" si="5"/>
        <v>527.61</v>
      </c>
    </row>
    <row r="38" spans="1:8" ht="15">
      <c r="A38" s="3"/>
      <c r="B38" s="20" t="s">
        <v>100</v>
      </c>
      <c r="C38" s="58">
        <f t="shared" si="2"/>
        <v>35919</v>
      </c>
      <c r="D38" s="5">
        <f t="shared" si="3"/>
        <v>14953.08</v>
      </c>
      <c r="E38" s="2"/>
      <c r="F38" s="2"/>
      <c r="G38" s="6">
        <f t="shared" si="4"/>
        <v>1</v>
      </c>
      <c r="H38" s="59">
        <f t="shared" si="5"/>
        <v>560.74</v>
      </c>
    </row>
    <row r="39" spans="1:8" ht="15">
      <c r="A39" s="3"/>
      <c r="B39" s="20" t="s">
        <v>101</v>
      </c>
      <c r="C39" s="58">
        <f t="shared" si="2"/>
        <v>35919</v>
      </c>
      <c r="D39" s="5">
        <f t="shared" si="3"/>
        <v>14658.54</v>
      </c>
      <c r="E39" s="2"/>
      <c r="F39" s="2"/>
      <c r="G39" s="6">
        <f t="shared" si="4"/>
        <v>1</v>
      </c>
      <c r="H39" s="59">
        <f t="shared" si="5"/>
        <v>549.7</v>
      </c>
    </row>
    <row r="40" spans="1:8" ht="15">
      <c r="A40" s="3"/>
      <c r="B40" s="20" t="s">
        <v>102</v>
      </c>
      <c r="C40" s="58">
        <f t="shared" si="2"/>
        <v>35919</v>
      </c>
      <c r="D40" s="5">
        <f t="shared" si="3"/>
        <v>14540.01</v>
      </c>
      <c r="E40" s="2"/>
      <c r="F40" s="2"/>
      <c r="G40" s="6">
        <f t="shared" si="4"/>
        <v>1</v>
      </c>
      <c r="H40" s="59">
        <f t="shared" si="5"/>
        <v>545.25</v>
      </c>
    </row>
    <row r="41" spans="1:8" ht="15">
      <c r="A41" s="3"/>
      <c r="B41" s="20" t="s">
        <v>103</v>
      </c>
      <c r="C41" s="58">
        <f t="shared" si="2"/>
        <v>35919</v>
      </c>
      <c r="D41" s="5">
        <f t="shared" si="3"/>
        <v>13602.53</v>
      </c>
      <c r="E41" s="2"/>
      <c r="F41" s="2"/>
      <c r="G41" s="6">
        <f t="shared" si="4"/>
        <v>1</v>
      </c>
      <c r="H41" s="59">
        <f t="shared" si="5"/>
        <v>510.09</v>
      </c>
    </row>
    <row r="42" spans="1:8" ht="15">
      <c r="A42" s="3"/>
      <c r="B42" s="20" t="s">
        <v>104</v>
      </c>
      <c r="C42" s="58">
        <f t="shared" si="2"/>
        <v>35919</v>
      </c>
      <c r="D42" s="5">
        <f t="shared" si="3"/>
        <v>13918.61</v>
      </c>
      <c r="E42" s="2"/>
      <c r="F42" s="2"/>
      <c r="G42" s="6">
        <f t="shared" si="4"/>
        <v>1</v>
      </c>
      <c r="H42" s="59">
        <f t="shared" si="5"/>
        <v>521.95</v>
      </c>
    </row>
    <row r="43" spans="1:8" ht="15">
      <c r="A43" s="3"/>
      <c r="B43" s="20" t="s">
        <v>105</v>
      </c>
      <c r="C43" s="58">
        <f t="shared" si="2"/>
        <v>35919</v>
      </c>
      <c r="D43" s="5">
        <f t="shared" si="3"/>
        <v>14644.18</v>
      </c>
      <c r="E43" s="2"/>
      <c r="F43" s="2"/>
      <c r="G43" s="6">
        <f t="shared" si="4"/>
        <v>1</v>
      </c>
      <c r="H43" s="59">
        <f t="shared" si="5"/>
        <v>549.16</v>
      </c>
    </row>
    <row r="44" spans="1:8" ht="15">
      <c r="A44" s="3"/>
      <c r="B44" s="20" t="s">
        <v>106</v>
      </c>
      <c r="C44" s="58">
        <f t="shared" si="2"/>
        <v>35919</v>
      </c>
      <c r="D44" s="5">
        <f t="shared" si="3"/>
        <v>14708.83</v>
      </c>
      <c r="E44" s="2"/>
      <c r="F44" s="2"/>
      <c r="G44" s="6">
        <f t="shared" si="4"/>
        <v>1</v>
      </c>
      <c r="H44" s="59">
        <f t="shared" si="5"/>
        <v>551.58</v>
      </c>
    </row>
    <row r="45" spans="1:8" ht="15">
      <c r="A45" s="3"/>
      <c r="B45" s="20" t="s">
        <v>107</v>
      </c>
      <c r="C45" s="58">
        <f t="shared" si="2"/>
        <v>35919</v>
      </c>
      <c r="D45" s="5">
        <f t="shared" si="3"/>
        <v>14708.83</v>
      </c>
      <c r="E45" s="2"/>
      <c r="F45" s="2"/>
      <c r="G45" s="6">
        <f t="shared" si="4"/>
        <v>1</v>
      </c>
      <c r="H45" s="59">
        <f t="shared" si="5"/>
        <v>551.58</v>
      </c>
    </row>
    <row r="46" spans="1:8" ht="15">
      <c r="A46" s="3"/>
      <c r="B46" s="20" t="s">
        <v>108</v>
      </c>
      <c r="C46" s="58">
        <f t="shared" si="2"/>
        <v>35919</v>
      </c>
      <c r="D46" s="5">
        <f t="shared" si="3"/>
        <v>15624.77</v>
      </c>
      <c r="E46" s="2"/>
      <c r="F46" s="2"/>
      <c r="G46" s="6">
        <f t="shared" si="4"/>
        <v>1</v>
      </c>
      <c r="H46" s="59">
        <f t="shared" si="5"/>
        <v>585.93</v>
      </c>
    </row>
    <row r="47" spans="1:8" ht="15">
      <c r="A47" s="3"/>
      <c r="B47" s="20" t="s">
        <v>109</v>
      </c>
      <c r="C47" s="58">
        <f t="shared" si="2"/>
        <v>35919</v>
      </c>
      <c r="D47" s="5">
        <f t="shared" si="3"/>
        <v>14662.14</v>
      </c>
      <c r="E47" s="2"/>
      <c r="F47" s="2"/>
      <c r="G47" s="6">
        <f t="shared" si="4"/>
        <v>1</v>
      </c>
      <c r="H47" s="59">
        <f t="shared" si="5"/>
        <v>549.83</v>
      </c>
    </row>
    <row r="48" spans="1:8" ht="15">
      <c r="A48" s="3"/>
      <c r="B48" s="20" t="s">
        <v>110</v>
      </c>
      <c r="C48" s="58">
        <f t="shared" si="2"/>
        <v>35919</v>
      </c>
      <c r="D48" s="5">
        <f t="shared" si="3"/>
        <v>18045.71</v>
      </c>
      <c r="E48" s="2"/>
      <c r="F48" s="2"/>
      <c r="G48" s="6">
        <f t="shared" si="4"/>
        <v>1</v>
      </c>
      <c r="H48" s="59">
        <f t="shared" si="5"/>
        <v>676.71</v>
      </c>
    </row>
    <row r="49" spans="1:8" ht="15">
      <c r="A49" s="3"/>
      <c r="B49" s="20" t="s">
        <v>111</v>
      </c>
      <c r="C49" s="58">
        <f t="shared" si="2"/>
        <v>35919</v>
      </c>
      <c r="D49" s="5">
        <f t="shared" si="3"/>
        <v>23358.13</v>
      </c>
      <c r="E49" s="7"/>
      <c r="F49" s="2"/>
      <c r="G49" s="6">
        <f t="shared" si="4"/>
        <v>1</v>
      </c>
      <c r="H49" s="59">
        <f t="shared" si="5"/>
        <v>875.93</v>
      </c>
    </row>
    <row r="50" spans="1:8" ht="15">
      <c r="A50" s="3"/>
      <c r="B50" s="20" t="s">
        <v>112</v>
      </c>
      <c r="C50" s="58">
        <f t="shared" si="2"/>
        <v>35919</v>
      </c>
      <c r="D50" s="5">
        <f t="shared" si="3"/>
        <v>23358.13</v>
      </c>
      <c r="E50" s="7"/>
      <c r="F50" s="2"/>
      <c r="G50" s="6">
        <f t="shared" si="4"/>
        <v>1</v>
      </c>
      <c r="H50" s="59">
        <f t="shared" si="5"/>
        <v>875.93</v>
      </c>
    </row>
    <row r="51" spans="1:8" ht="15">
      <c r="A51" s="3"/>
      <c r="B51" s="23"/>
      <c r="C51" s="58"/>
      <c r="D51" s="5"/>
      <c r="E51" s="7"/>
      <c r="F51" s="2"/>
      <c r="G51" s="6"/>
      <c r="H51" s="59"/>
    </row>
    <row r="52" spans="1:8" ht="15">
      <c r="A52" s="3" t="s">
        <v>16</v>
      </c>
      <c r="B52" s="1"/>
      <c r="C52" s="3"/>
      <c r="D52" s="3"/>
      <c r="E52" s="2"/>
      <c r="F52" s="2"/>
      <c r="G52" s="2"/>
      <c r="H52" s="4">
        <f>SUM(H35:H50)</f>
        <v>9079.88</v>
      </c>
    </row>
    <row r="53" spans="1:8" s="99" customFormat="1" ht="15">
      <c r="A53" s="3" t="s">
        <v>15</v>
      </c>
      <c r="B53" s="94"/>
      <c r="C53" s="95"/>
      <c r="D53" s="95"/>
      <c r="E53" s="96"/>
      <c r="F53" s="96"/>
      <c r="G53" s="96"/>
      <c r="H53" s="22">
        <f>'Limited Arrears'!I28</f>
        <v>431.13</v>
      </c>
    </row>
    <row r="54" spans="1:9" s="99" customFormat="1" ht="15">
      <c r="A54" s="3" t="s">
        <v>10</v>
      </c>
      <c r="B54" s="94"/>
      <c r="C54" s="95"/>
      <c r="D54" s="95"/>
      <c r="E54" s="96"/>
      <c r="F54" s="96"/>
      <c r="G54" s="96"/>
      <c r="H54" s="22">
        <v>0</v>
      </c>
      <c r="I54" s="99" t="s">
        <v>1</v>
      </c>
    </row>
    <row r="55" spans="1:8" s="99" customFormat="1" ht="15">
      <c r="A55" s="93" t="s">
        <v>7</v>
      </c>
      <c r="B55" s="94"/>
      <c r="C55" s="95"/>
      <c r="D55" s="95"/>
      <c r="E55" s="96"/>
      <c r="F55" s="96"/>
      <c r="G55" s="96"/>
      <c r="H55" s="113">
        <f>SUM(H52-H53-H54)</f>
        <v>8648.75</v>
      </c>
    </row>
    <row r="56" spans="2:8" s="99" customFormat="1" ht="15">
      <c r="B56" s="100"/>
      <c r="E56" s="85"/>
      <c r="F56" s="85"/>
      <c r="G56" s="85"/>
      <c r="H56" s="114"/>
    </row>
    <row r="57" spans="1:8" s="92" customFormat="1" ht="60">
      <c r="A57" s="109" t="s">
        <v>22</v>
      </c>
      <c r="B57" s="110"/>
      <c r="C57" s="111" t="s">
        <v>17</v>
      </c>
      <c r="D57" s="112" t="s">
        <v>18</v>
      </c>
      <c r="E57" s="112" t="s">
        <v>19</v>
      </c>
      <c r="F57" s="112" t="s">
        <v>21</v>
      </c>
      <c r="G57" s="87" t="s">
        <v>13</v>
      </c>
      <c r="H57" s="112" t="s">
        <v>20</v>
      </c>
    </row>
    <row r="58" spans="1:8" s="99" customFormat="1" ht="15">
      <c r="A58" s="3"/>
      <c r="B58" s="20" t="s">
        <v>97</v>
      </c>
      <c r="C58" s="58">
        <f aca="true" t="shared" si="6" ref="C58:C73">$B$9</f>
        <v>35919</v>
      </c>
      <c r="D58" s="5">
        <f aca="true" t="shared" si="7" ref="D58:D73">SUM(C58*G12)</f>
        <v>1770.81</v>
      </c>
      <c r="E58" s="60">
        <v>24347.2</v>
      </c>
      <c r="F58" s="4">
        <f aca="true" t="shared" si="8" ref="F58:F73">SUM(D58-E58)</f>
        <v>-22576.39</v>
      </c>
      <c r="G58" s="6">
        <f aca="true" t="shared" si="9" ref="G58:G73">SUM(H12)</f>
        <v>1</v>
      </c>
      <c r="H58" s="61" t="str">
        <f aca="true" t="shared" si="10" ref="H58:H73">IF(F58&lt;=0,"0",F58*G58*1/80)</f>
        <v>0</v>
      </c>
    </row>
    <row r="59" spans="1:8" s="99" customFormat="1" ht="15">
      <c r="A59" s="3"/>
      <c r="B59" s="20" t="s">
        <v>98</v>
      </c>
      <c r="C59" s="58">
        <f t="shared" si="6"/>
        <v>35919</v>
      </c>
      <c r="D59" s="5">
        <f t="shared" si="7"/>
        <v>15506.23</v>
      </c>
      <c r="E59" s="60">
        <v>24347.2</v>
      </c>
      <c r="F59" s="4">
        <f t="shared" si="8"/>
        <v>-8840.97</v>
      </c>
      <c r="G59" s="6">
        <f t="shared" si="9"/>
        <v>1</v>
      </c>
      <c r="H59" s="61" t="str">
        <f t="shared" si="10"/>
        <v>0</v>
      </c>
    </row>
    <row r="60" spans="1:8" s="99" customFormat="1" ht="15">
      <c r="A60" s="3"/>
      <c r="B60" s="20" t="s">
        <v>99</v>
      </c>
      <c r="C60" s="58">
        <f t="shared" si="6"/>
        <v>35919</v>
      </c>
      <c r="D60" s="5">
        <f t="shared" si="7"/>
        <v>14069.47</v>
      </c>
      <c r="E60" s="60">
        <v>24347.2</v>
      </c>
      <c r="F60" s="4">
        <f t="shared" si="8"/>
        <v>-10277.73</v>
      </c>
      <c r="G60" s="6">
        <f t="shared" si="9"/>
        <v>1</v>
      </c>
      <c r="H60" s="61" t="str">
        <f t="shared" si="10"/>
        <v>0</v>
      </c>
    </row>
    <row r="61" spans="1:8" s="99" customFormat="1" ht="15">
      <c r="A61" s="3"/>
      <c r="B61" s="20" t="s">
        <v>100</v>
      </c>
      <c r="C61" s="58">
        <f t="shared" si="6"/>
        <v>35919</v>
      </c>
      <c r="D61" s="5">
        <f t="shared" si="7"/>
        <v>14953.08</v>
      </c>
      <c r="E61" s="60">
        <v>24347.2</v>
      </c>
      <c r="F61" s="4">
        <f t="shared" si="8"/>
        <v>-9394.12</v>
      </c>
      <c r="G61" s="6">
        <f t="shared" si="9"/>
        <v>1</v>
      </c>
      <c r="H61" s="61" t="str">
        <f t="shared" si="10"/>
        <v>0</v>
      </c>
    </row>
    <row r="62" spans="1:8" s="99" customFormat="1" ht="15">
      <c r="A62" s="3"/>
      <c r="B62" s="20" t="s">
        <v>101</v>
      </c>
      <c r="C62" s="58">
        <f t="shared" si="6"/>
        <v>35919</v>
      </c>
      <c r="D62" s="5">
        <f t="shared" si="7"/>
        <v>14658.54</v>
      </c>
      <c r="E62" s="60">
        <v>24347.2</v>
      </c>
      <c r="F62" s="4">
        <f t="shared" si="8"/>
        <v>-9688.66</v>
      </c>
      <c r="G62" s="6">
        <f t="shared" si="9"/>
        <v>1</v>
      </c>
      <c r="H62" s="61" t="str">
        <f t="shared" si="10"/>
        <v>0</v>
      </c>
    </row>
    <row r="63" spans="1:8" s="99" customFormat="1" ht="15">
      <c r="A63" s="3"/>
      <c r="B63" s="20" t="s">
        <v>102</v>
      </c>
      <c r="C63" s="58">
        <f t="shared" si="6"/>
        <v>35919</v>
      </c>
      <c r="D63" s="5">
        <f t="shared" si="7"/>
        <v>14540.01</v>
      </c>
      <c r="E63" s="60">
        <v>24347.2</v>
      </c>
      <c r="F63" s="4">
        <f t="shared" si="8"/>
        <v>-9807.19</v>
      </c>
      <c r="G63" s="6">
        <f t="shared" si="9"/>
        <v>1</v>
      </c>
      <c r="H63" s="61" t="str">
        <f t="shared" si="10"/>
        <v>0</v>
      </c>
    </row>
    <row r="64" spans="1:8" s="99" customFormat="1" ht="15">
      <c r="A64" s="3"/>
      <c r="B64" s="20" t="s">
        <v>103</v>
      </c>
      <c r="C64" s="58">
        <f t="shared" si="6"/>
        <v>35919</v>
      </c>
      <c r="D64" s="5">
        <f t="shared" si="7"/>
        <v>13602.53</v>
      </c>
      <c r="E64" s="60">
        <v>24347.2</v>
      </c>
      <c r="F64" s="4">
        <f t="shared" si="8"/>
        <v>-10744.67</v>
      </c>
      <c r="G64" s="6">
        <f t="shared" si="9"/>
        <v>1</v>
      </c>
      <c r="H64" s="61" t="str">
        <f t="shared" si="10"/>
        <v>0</v>
      </c>
    </row>
    <row r="65" spans="1:8" s="99" customFormat="1" ht="15">
      <c r="A65" s="3"/>
      <c r="B65" s="20" t="s">
        <v>104</v>
      </c>
      <c r="C65" s="58">
        <f t="shared" si="6"/>
        <v>35919</v>
      </c>
      <c r="D65" s="5">
        <f t="shared" si="7"/>
        <v>13918.61</v>
      </c>
      <c r="E65" s="60">
        <v>24347.2</v>
      </c>
      <c r="F65" s="4">
        <f t="shared" si="8"/>
        <v>-10428.59</v>
      </c>
      <c r="G65" s="6">
        <f t="shared" si="9"/>
        <v>1</v>
      </c>
      <c r="H65" s="61" t="str">
        <f t="shared" si="10"/>
        <v>0</v>
      </c>
    </row>
    <row r="66" spans="1:8" s="99" customFormat="1" ht="15">
      <c r="A66" s="3"/>
      <c r="B66" s="20" t="s">
        <v>105</v>
      </c>
      <c r="C66" s="58">
        <f t="shared" si="6"/>
        <v>35919</v>
      </c>
      <c r="D66" s="5">
        <f t="shared" si="7"/>
        <v>14644.18</v>
      </c>
      <c r="E66" s="60">
        <v>24347.2</v>
      </c>
      <c r="F66" s="4">
        <f t="shared" si="8"/>
        <v>-9703.02</v>
      </c>
      <c r="G66" s="6">
        <f t="shared" si="9"/>
        <v>1</v>
      </c>
      <c r="H66" s="61" t="str">
        <f t="shared" si="10"/>
        <v>0</v>
      </c>
    </row>
    <row r="67" spans="1:8" s="99" customFormat="1" ht="15">
      <c r="A67" s="3"/>
      <c r="B67" s="20" t="s">
        <v>106</v>
      </c>
      <c r="C67" s="58">
        <f t="shared" si="6"/>
        <v>35919</v>
      </c>
      <c r="D67" s="5">
        <f t="shared" si="7"/>
        <v>14708.83</v>
      </c>
      <c r="E67" s="60">
        <v>24347.2</v>
      </c>
      <c r="F67" s="4">
        <f t="shared" si="8"/>
        <v>-9638.37</v>
      </c>
      <c r="G67" s="6">
        <f t="shared" si="9"/>
        <v>1</v>
      </c>
      <c r="H67" s="61" t="str">
        <f t="shared" si="10"/>
        <v>0</v>
      </c>
    </row>
    <row r="68" spans="1:8" s="99" customFormat="1" ht="15">
      <c r="A68" s="3"/>
      <c r="B68" s="20" t="s">
        <v>107</v>
      </c>
      <c r="C68" s="58">
        <f t="shared" si="6"/>
        <v>35919</v>
      </c>
      <c r="D68" s="5">
        <f t="shared" si="7"/>
        <v>14708.83</v>
      </c>
      <c r="E68" s="60">
        <v>24347.2</v>
      </c>
      <c r="F68" s="4">
        <f t="shared" si="8"/>
        <v>-9638.37</v>
      </c>
      <c r="G68" s="6">
        <f t="shared" si="9"/>
        <v>1</v>
      </c>
      <c r="H68" s="61" t="str">
        <f t="shared" si="10"/>
        <v>0</v>
      </c>
    </row>
    <row r="69" spans="1:8" s="99" customFormat="1" ht="15">
      <c r="A69" s="3"/>
      <c r="B69" s="20" t="s">
        <v>108</v>
      </c>
      <c r="C69" s="58">
        <f t="shared" si="6"/>
        <v>35919</v>
      </c>
      <c r="D69" s="5">
        <f t="shared" si="7"/>
        <v>15624.77</v>
      </c>
      <c r="E69" s="60">
        <v>24347.2</v>
      </c>
      <c r="F69" s="4">
        <f t="shared" si="8"/>
        <v>-8722.43</v>
      </c>
      <c r="G69" s="6">
        <f t="shared" si="9"/>
        <v>1</v>
      </c>
      <c r="H69" s="61" t="str">
        <f t="shared" si="10"/>
        <v>0</v>
      </c>
    </row>
    <row r="70" spans="1:8" s="99" customFormat="1" ht="15">
      <c r="A70" s="3"/>
      <c r="B70" s="20" t="s">
        <v>109</v>
      </c>
      <c r="C70" s="58">
        <f t="shared" si="6"/>
        <v>35919</v>
      </c>
      <c r="D70" s="5">
        <f t="shared" si="7"/>
        <v>14662.14</v>
      </c>
      <c r="E70" s="60">
        <v>24347.2</v>
      </c>
      <c r="F70" s="4">
        <f t="shared" si="8"/>
        <v>-9685.06</v>
      </c>
      <c r="G70" s="6">
        <f t="shared" si="9"/>
        <v>1</v>
      </c>
      <c r="H70" s="61" t="str">
        <f t="shared" si="10"/>
        <v>0</v>
      </c>
    </row>
    <row r="71" spans="1:8" s="99" customFormat="1" ht="15">
      <c r="A71" s="3"/>
      <c r="B71" s="20" t="s">
        <v>110</v>
      </c>
      <c r="C71" s="58">
        <f t="shared" si="6"/>
        <v>35919</v>
      </c>
      <c r="D71" s="5">
        <f t="shared" si="7"/>
        <v>18045.71</v>
      </c>
      <c r="E71" s="60">
        <v>24347.2</v>
      </c>
      <c r="F71" s="4">
        <f t="shared" si="8"/>
        <v>-6301.49</v>
      </c>
      <c r="G71" s="6">
        <f t="shared" si="9"/>
        <v>1</v>
      </c>
      <c r="H71" s="61" t="str">
        <f t="shared" si="10"/>
        <v>0</v>
      </c>
    </row>
    <row r="72" spans="1:8" s="99" customFormat="1" ht="15">
      <c r="A72" s="3"/>
      <c r="B72" s="20" t="s">
        <v>111</v>
      </c>
      <c r="C72" s="58">
        <f t="shared" si="6"/>
        <v>35919</v>
      </c>
      <c r="D72" s="5">
        <f t="shared" si="7"/>
        <v>23358.13</v>
      </c>
      <c r="E72" s="60">
        <v>24347.2</v>
      </c>
      <c r="F72" s="4">
        <f t="shared" si="8"/>
        <v>-989.07</v>
      </c>
      <c r="G72" s="6">
        <f t="shared" si="9"/>
        <v>1</v>
      </c>
      <c r="H72" s="61" t="str">
        <f t="shared" si="10"/>
        <v>0</v>
      </c>
    </row>
    <row r="73" spans="1:8" s="99" customFormat="1" ht="15">
      <c r="A73" s="3"/>
      <c r="B73" s="20" t="s">
        <v>112</v>
      </c>
      <c r="C73" s="58">
        <f t="shared" si="6"/>
        <v>35919</v>
      </c>
      <c r="D73" s="5">
        <f t="shared" si="7"/>
        <v>23358.13</v>
      </c>
      <c r="E73" s="60">
        <v>24347.2</v>
      </c>
      <c r="F73" s="4">
        <f t="shared" si="8"/>
        <v>-989.07</v>
      </c>
      <c r="G73" s="6">
        <f t="shared" si="9"/>
        <v>1</v>
      </c>
      <c r="H73" s="61" t="str">
        <f t="shared" si="10"/>
        <v>0</v>
      </c>
    </row>
    <row r="74" spans="1:8" s="92" customFormat="1" ht="30">
      <c r="A74" s="115" t="s">
        <v>23</v>
      </c>
      <c r="B74" s="116"/>
      <c r="C74" s="87"/>
      <c r="D74" s="87"/>
      <c r="E74" s="112"/>
      <c r="F74" s="112"/>
      <c r="G74" s="112">
        <f>SUM(G58:G73)</f>
        <v>16</v>
      </c>
      <c r="H74" s="117">
        <f>SUM(H58:H73)</f>
        <v>0</v>
      </c>
    </row>
    <row r="75" spans="1:8" s="99" customFormat="1" ht="15">
      <c r="A75" s="95"/>
      <c r="B75" s="94"/>
      <c r="C75" s="95"/>
      <c r="D75" s="95"/>
      <c r="E75" s="96"/>
      <c r="F75" s="96"/>
      <c r="G75" s="96"/>
      <c r="H75" s="118"/>
    </row>
    <row r="76" spans="1:8" s="99" customFormat="1" ht="15">
      <c r="A76" s="3"/>
      <c r="B76" s="94"/>
      <c r="C76" s="95"/>
      <c r="D76" s="95"/>
      <c r="E76" s="96"/>
      <c r="F76" s="96"/>
      <c r="G76" s="96"/>
      <c r="H76" s="119"/>
    </row>
    <row r="77" spans="1:8" s="99" customFormat="1" ht="15">
      <c r="A77" s="24"/>
      <c r="B77" s="120"/>
      <c r="C77" s="104"/>
      <c r="D77" s="104"/>
      <c r="E77" s="121"/>
      <c r="F77" s="121"/>
      <c r="G77" s="121"/>
      <c r="H77" s="122"/>
    </row>
    <row r="78" spans="1:8" s="99" customFormat="1" ht="15">
      <c r="A78" s="24"/>
      <c r="B78" s="120"/>
      <c r="C78" s="104"/>
      <c r="D78" s="104"/>
      <c r="E78" s="121"/>
      <c r="F78" s="121"/>
      <c r="G78" s="121"/>
      <c r="H78" s="122"/>
    </row>
    <row r="79" spans="1:8" s="99" customFormat="1" ht="15">
      <c r="A79" s="24"/>
      <c r="B79" s="120"/>
      <c r="C79" s="104"/>
      <c r="D79" s="104"/>
      <c r="E79" s="121"/>
      <c r="F79" s="121"/>
      <c r="G79" s="121"/>
      <c r="H79" s="122"/>
    </row>
    <row r="80" spans="1:8" s="99" customFormat="1" ht="15">
      <c r="A80" s="24"/>
      <c r="B80" s="120"/>
      <c r="C80" s="104"/>
      <c r="D80" s="104"/>
      <c r="E80" s="121"/>
      <c r="F80" s="121"/>
      <c r="G80" s="121"/>
      <c r="H80" s="122"/>
    </row>
    <row r="81" spans="1:8" s="99" customFormat="1" ht="15">
      <c r="A81" s="24"/>
      <c r="B81" s="120"/>
      <c r="C81" s="104"/>
      <c r="D81" s="104"/>
      <c r="E81" s="121"/>
      <c r="F81" s="121"/>
      <c r="G81" s="121"/>
      <c r="H81" s="122"/>
    </row>
    <row r="82" spans="1:8" s="99" customFormat="1" ht="15">
      <c r="A82" s="24"/>
      <c r="B82" s="120"/>
      <c r="C82" s="104"/>
      <c r="D82" s="104"/>
      <c r="E82" s="121"/>
      <c r="F82" s="121"/>
      <c r="G82" s="121"/>
      <c r="H82" s="122"/>
    </row>
    <row r="83" spans="2:8" s="99" customFormat="1" ht="15">
      <c r="B83" s="100"/>
      <c r="E83" s="85"/>
      <c r="F83" s="85"/>
      <c r="G83" s="85"/>
      <c r="H83" s="123"/>
    </row>
    <row r="84" spans="1:8" ht="15.75" thickBot="1">
      <c r="A84" s="62"/>
      <c r="B84" s="63"/>
      <c r="C84" s="62"/>
      <c r="D84" s="62"/>
      <c r="E84" s="64"/>
      <c r="F84" s="64"/>
      <c r="G84" s="64"/>
      <c r="H84" s="62"/>
    </row>
    <row r="85" spans="1:8" ht="34.5" thickTop="1">
      <c r="A85" s="105" t="s">
        <v>24</v>
      </c>
      <c r="B85" s="106"/>
      <c r="C85" s="105"/>
      <c r="D85" s="105"/>
      <c r="E85" s="107"/>
      <c r="F85" s="107"/>
      <c r="G85" s="107"/>
      <c r="H85" s="105"/>
    </row>
    <row r="86" spans="1:8" ht="15">
      <c r="A86" s="124" t="s">
        <v>33</v>
      </c>
      <c r="B86" s="100"/>
      <c r="C86" s="99"/>
      <c r="D86" s="99"/>
      <c r="E86" s="85"/>
      <c r="F86" s="85"/>
      <c r="G86" s="85"/>
      <c r="H86" s="99"/>
    </row>
    <row r="87" spans="1:8" s="92" customFormat="1" ht="45">
      <c r="A87" s="109" t="s">
        <v>27</v>
      </c>
      <c r="B87" s="110" t="s">
        <v>6</v>
      </c>
      <c r="C87" s="125">
        <f>B9</f>
        <v>35919</v>
      </c>
      <c r="D87" s="87"/>
      <c r="E87" s="112"/>
      <c r="F87" s="112"/>
      <c r="G87" s="87" t="s">
        <v>28</v>
      </c>
      <c r="H87" s="112" t="s">
        <v>14</v>
      </c>
    </row>
    <row r="88" spans="1:8" s="92" customFormat="1" ht="15">
      <c r="A88" s="109"/>
      <c r="C88" s="87"/>
      <c r="D88" s="87"/>
      <c r="E88" s="112"/>
      <c r="F88" s="112"/>
      <c r="G88" s="87"/>
      <c r="H88" s="112"/>
    </row>
    <row r="89" spans="1:8" ht="15">
      <c r="A89" s="3"/>
      <c r="B89" s="65"/>
      <c r="C89" s="3"/>
      <c r="D89" s="3"/>
      <c r="E89" s="2"/>
      <c r="F89" s="2"/>
      <c r="G89" s="2"/>
      <c r="H89" s="3"/>
    </row>
    <row r="90" spans="1:8" ht="15">
      <c r="A90" s="3" t="s">
        <v>16</v>
      </c>
      <c r="B90" s="66" t="s">
        <v>29</v>
      </c>
      <c r="C90" s="67"/>
      <c r="D90" s="3"/>
      <c r="E90" s="2"/>
      <c r="F90" s="2"/>
      <c r="G90" s="2">
        <f>SUM(G28)</f>
        <v>6.741</v>
      </c>
      <c r="H90" s="5">
        <f>SUM(C87*G90*3/80)</f>
        <v>9079.87</v>
      </c>
    </row>
    <row r="91" spans="1:8" ht="15">
      <c r="A91" s="3" t="s">
        <v>119</v>
      </c>
      <c r="B91" s="68"/>
      <c r="C91" s="69"/>
      <c r="D91" s="3"/>
      <c r="E91" s="2"/>
      <c r="F91" s="2"/>
      <c r="G91" s="2"/>
      <c r="H91" s="5">
        <f>'Pro Rata Arrears'!I29</f>
        <v>2409.27</v>
      </c>
    </row>
    <row r="92" spans="1:8" s="99" customFormat="1" ht="15">
      <c r="A92" s="3"/>
      <c r="B92" s="65"/>
      <c r="C92" s="3"/>
      <c r="D92" s="3"/>
      <c r="E92" s="2"/>
      <c r="F92" s="2"/>
      <c r="G92" s="2"/>
      <c r="H92" s="5"/>
    </row>
    <row r="93" spans="1:8" ht="15">
      <c r="A93" s="93" t="s">
        <v>7</v>
      </c>
      <c r="B93" s="65"/>
      <c r="C93" s="3"/>
      <c r="D93" s="3"/>
      <c r="E93" s="2"/>
      <c r="F93" s="2"/>
      <c r="G93" s="2"/>
      <c r="H93" s="126">
        <f>H90-H91</f>
        <v>6670.6</v>
      </c>
    </row>
    <row r="94" spans="1:8" ht="15">
      <c r="A94" s="99"/>
      <c r="H94" s="70"/>
    </row>
    <row r="95" spans="1:9" s="99" customFormat="1" ht="33.75">
      <c r="A95" s="127" t="s">
        <v>9</v>
      </c>
      <c r="B95" s="94" t="s">
        <v>6</v>
      </c>
      <c r="C95" s="128">
        <f>B9</f>
        <v>35919</v>
      </c>
      <c r="D95" s="87" t="s">
        <v>38</v>
      </c>
      <c r="E95" s="129">
        <f>230.3*3.3333333*52.18</f>
        <v>40056.85</v>
      </c>
      <c r="F95" s="96"/>
      <c r="G95" s="87" t="s">
        <v>28</v>
      </c>
      <c r="H95" s="95" t="s">
        <v>5</v>
      </c>
      <c r="I95" s="105"/>
    </row>
    <row r="96" spans="1:9" ht="15">
      <c r="A96" s="3" t="s">
        <v>30</v>
      </c>
      <c r="B96" s="65"/>
      <c r="C96" s="3"/>
      <c r="D96" s="3"/>
      <c r="E96" s="2"/>
      <c r="F96" s="2"/>
      <c r="G96" s="2"/>
      <c r="H96" s="3"/>
      <c r="I96" s="99"/>
    </row>
    <row r="97" spans="1:9" ht="15">
      <c r="A97" s="3" t="s">
        <v>31</v>
      </c>
      <c r="B97" s="65"/>
      <c r="C97" s="3"/>
      <c r="D97" s="3"/>
      <c r="E97" s="2"/>
      <c r="F97" s="2"/>
      <c r="G97" s="2"/>
      <c r="H97" s="3"/>
      <c r="I97" s="99"/>
    </row>
    <row r="98" spans="1:8" ht="15">
      <c r="A98" s="3" t="s">
        <v>11</v>
      </c>
      <c r="B98" s="71">
        <f>IF(C95&gt;=E95,E95,C95)</f>
        <v>35919</v>
      </c>
      <c r="C98" s="3"/>
      <c r="D98" s="4" t="s">
        <v>1</v>
      </c>
      <c r="E98" s="2" t="s">
        <v>1</v>
      </c>
      <c r="F98" s="4"/>
      <c r="G98" s="2">
        <f>SUM(G28)</f>
        <v>6.741</v>
      </c>
      <c r="H98" s="130">
        <f>SUM(B98*G98*1/200)</f>
        <v>1210.65</v>
      </c>
    </row>
    <row r="99" spans="1:8" s="134" customFormat="1" ht="15">
      <c r="A99" s="131" t="s">
        <v>12</v>
      </c>
      <c r="B99" s="132">
        <f>IF(C95&lt;E95,0,C95-E95)</f>
        <v>0</v>
      </c>
      <c r="C99" s="131" t="s">
        <v>32</v>
      </c>
      <c r="D99" s="131"/>
      <c r="E99" s="18"/>
      <c r="F99" s="18"/>
      <c r="G99" s="18">
        <f>SUM(G28)</f>
        <v>6.741</v>
      </c>
      <c r="H99" s="133">
        <f>SUM(B99*G99/80)</f>
        <v>0</v>
      </c>
    </row>
    <row r="100" spans="1:8" ht="15">
      <c r="A100" s="24"/>
      <c r="B100" s="72"/>
      <c r="C100" s="24"/>
      <c r="D100" s="24"/>
      <c r="E100" s="73"/>
      <c r="F100" s="73"/>
      <c r="G100" s="73"/>
      <c r="H100" s="135"/>
    </row>
    <row r="101" spans="1:8" s="99" customFormat="1" ht="15">
      <c r="A101" s="136" t="s">
        <v>34</v>
      </c>
      <c r="B101" s="137"/>
      <c r="C101" s="104"/>
      <c r="D101" s="104"/>
      <c r="E101" s="121"/>
      <c r="F101" s="121"/>
      <c r="G101" s="121"/>
      <c r="H101" s="138">
        <f>SUM(H98:H99)</f>
        <v>1210.65</v>
      </c>
    </row>
    <row r="102" spans="1:8" ht="15.75" thickBot="1">
      <c r="A102" s="62"/>
      <c r="B102" s="63"/>
      <c r="C102" s="62"/>
      <c r="D102" s="62"/>
      <c r="E102" s="64"/>
      <c r="F102" s="64"/>
      <c r="G102" s="64"/>
      <c r="H102" s="62"/>
    </row>
    <row r="103" ht="15.75" thickTop="1"/>
    <row r="104" spans="1:8" ht="67.5" customHeight="1">
      <c r="A104" s="139" t="s">
        <v>39</v>
      </c>
      <c r="B104" s="139"/>
      <c r="C104" s="139"/>
      <c r="D104" s="139"/>
      <c r="E104" s="139"/>
      <c r="F104" s="139"/>
      <c r="G104" s="139"/>
      <c r="H104" s="139"/>
    </row>
  </sheetData>
  <mergeCells count="3">
    <mergeCell ref="B90:C90"/>
    <mergeCell ref="A104:H104"/>
    <mergeCell ref="A1:H1"/>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&amp;RNon-Academic Officer Benefit Statement</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workbookViewId="0" topLeftCell="A1">
      <selection activeCell="E11" sqref="E11"/>
    </sheetView>
  </sheetViews>
  <sheetFormatPr defaultColWidth="9.140625" defaultRowHeight="15"/>
  <cols>
    <col min="1" max="1" width="19.140625" style="0" customWidth="1"/>
    <col min="2" max="2" width="17.421875" style="0" customWidth="1"/>
    <col min="3" max="3" width="13.421875" style="0" customWidth="1"/>
    <col min="4" max="4" width="12.00390625" style="0" customWidth="1"/>
    <col min="5" max="5" width="11.7109375" style="0" customWidth="1"/>
    <col min="6" max="6" width="13.421875" style="0" customWidth="1"/>
    <col min="7" max="7" width="12.8515625" style="0" customWidth="1"/>
    <col min="8" max="8" width="11.140625" style="0" customWidth="1"/>
    <col min="9" max="9" width="16.57421875" style="0" customWidth="1"/>
  </cols>
  <sheetData>
    <row r="1" spans="1:9" ht="15.75">
      <c r="A1" s="144" t="s">
        <v>96</v>
      </c>
      <c r="B1" s="144"/>
      <c r="C1" s="144"/>
      <c r="D1" s="144"/>
      <c r="E1" s="144"/>
      <c r="F1" s="144"/>
      <c r="G1" s="144"/>
      <c r="H1" s="144"/>
      <c r="I1" s="144"/>
    </row>
    <row r="2" spans="1:9" ht="15.75">
      <c r="A2" s="145" t="s">
        <v>47</v>
      </c>
      <c r="B2" s="158" t="str">
        <f>'Benefit Statement'!B3</f>
        <v xml:space="preserve"> </v>
      </c>
      <c r="C2" s="146"/>
      <c r="D2" s="147" t="s">
        <v>48</v>
      </c>
      <c r="E2" s="148" t="str">
        <f>'Benefit Statement'!G3</f>
        <v xml:space="preserve"> </v>
      </c>
      <c r="F2" s="149"/>
      <c r="G2" s="150" t="s">
        <v>113</v>
      </c>
      <c r="H2" s="151" t="str">
        <f>'Benefit Statement'!G6</f>
        <v xml:space="preserve"> </v>
      </c>
      <c r="I2" s="152"/>
    </row>
    <row r="3" spans="1:9" ht="15.75">
      <c r="A3" s="153" t="s">
        <v>1</v>
      </c>
      <c r="B3" s="154"/>
      <c r="C3" s="152"/>
      <c r="D3" s="152"/>
      <c r="E3" s="149"/>
      <c r="F3" s="149"/>
      <c r="G3" s="149"/>
      <c r="H3" s="151"/>
      <c r="I3" s="152"/>
    </row>
    <row r="4" spans="1:9" s="9" customFormat="1" ht="15.75">
      <c r="A4" s="159" t="s">
        <v>49</v>
      </c>
      <c r="B4" s="160" t="s">
        <v>50</v>
      </c>
      <c r="C4" s="161" t="s">
        <v>51</v>
      </c>
      <c r="D4" s="161" t="s">
        <v>52</v>
      </c>
      <c r="E4" s="162" t="s">
        <v>53</v>
      </c>
      <c r="F4" s="162" t="s">
        <v>54</v>
      </c>
      <c r="G4" s="162" t="s">
        <v>55</v>
      </c>
      <c r="H4" s="163" t="s">
        <v>56</v>
      </c>
      <c r="I4" s="161" t="s">
        <v>57</v>
      </c>
    </row>
    <row r="5" spans="1:9" ht="15.75">
      <c r="A5" s="153"/>
      <c r="B5" s="164"/>
      <c r="C5" s="28"/>
      <c r="D5" s="28"/>
      <c r="E5" s="29"/>
      <c r="F5" s="29"/>
      <c r="G5" s="29"/>
      <c r="H5" s="27"/>
      <c r="I5" s="28"/>
    </row>
    <row r="6" spans="1:9" s="10" customFormat="1" ht="15.75">
      <c r="A6" s="153" t="s">
        <v>58</v>
      </c>
      <c r="B6" s="165">
        <v>7158.03</v>
      </c>
      <c r="C6" s="152">
        <f>SUM(B6*3%)</f>
        <v>214.74</v>
      </c>
      <c r="D6" s="152">
        <v>15372.23</v>
      </c>
      <c r="E6" s="152">
        <f>SUM(D6*H6)</f>
        <v>6636.19</v>
      </c>
      <c r="F6" s="152">
        <f>SUM(B6-E6)</f>
        <v>521.84</v>
      </c>
      <c r="G6" s="166">
        <f>IF(F6*3.5%&lt;=0,"0",F6*3.5%)</f>
        <v>18.26</v>
      </c>
      <c r="H6" s="167">
        <f>'Benefit Statement'!G13</f>
        <v>0.4317</v>
      </c>
      <c r="I6" s="165">
        <f>SUM(C6+G6)</f>
        <v>233</v>
      </c>
    </row>
    <row r="7" spans="1:9" s="10" customFormat="1" ht="15.75">
      <c r="A7" s="153" t="s">
        <v>59</v>
      </c>
      <c r="B7" s="165">
        <v>7348.16</v>
      </c>
      <c r="C7" s="152">
        <f>SUM(B7*3%)</f>
        <v>220.44</v>
      </c>
      <c r="D7" s="152">
        <v>16415.83</v>
      </c>
      <c r="E7" s="152">
        <f aca="true" t="shared" si="0" ref="E7:E15">SUM(D7*H7)</f>
        <v>6430.08</v>
      </c>
      <c r="F7" s="152">
        <f aca="true" t="shared" si="1" ref="F7:F15">SUM(B7-E7)</f>
        <v>918.08</v>
      </c>
      <c r="G7" s="166">
        <f>IF(F7*3.5%&lt;=0,"0",F7*3.5%)</f>
        <v>32.13</v>
      </c>
      <c r="H7" s="167">
        <f>'Benefit Statement'!G14</f>
        <v>0.3917</v>
      </c>
      <c r="I7" s="165">
        <f aca="true" t="shared" si="2" ref="I7:I14">SUM(C7+G7)</f>
        <v>252.57</v>
      </c>
    </row>
    <row r="8" spans="1:9" s="10" customFormat="1" ht="15.75">
      <c r="A8" s="153" t="s">
        <v>60</v>
      </c>
      <c r="B8" s="165">
        <v>8280.98</v>
      </c>
      <c r="C8" s="152">
        <f aca="true" t="shared" si="3" ref="C8:C15">SUM(B8*3%)</f>
        <v>248.43</v>
      </c>
      <c r="D8" s="152">
        <v>17459.43</v>
      </c>
      <c r="E8" s="152">
        <f t="shared" si="0"/>
        <v>7268.36</v>
      </c>
      <c r="F8" s="152">
        <f t="shared" si="1"/>
        <v>1012.62</v>
      </c>
      <c r="G8" s="166">
        <f aca="true" t="shared" si="4" ref="G8:G15">IF(F8*3.5%&lt;=0,"0",F8*3.5%)</f>
        <v>35.44</v>
      </c>
      <c r="H8" s="167">
        <f>'Benefit Statement'!G15</f>
        <v>0.4163</v>
      </c>
      <c r="I8" s="165">
        <f t="shared" si="2"/>
        <v>283.87</v>
      </c>
    </row>
    <row r="9" spans="1:9" s="10" customFormat="1" ht="15.75">
      <c r="A9" s="153" t="s">
        <v>61</v>
      </c>
      <c r="B9" s="165">
        <v>8543.99</v>
      </c>
      <c r="C9" s="152">
        <f t="shared" si="3"/>
        <v>256.32</v>
      </c>
      <c r="D9" s="152">
        <v>18711.75</v>
      </c>
      <c r="E9" s="152">
        <f t="shared" si="0"/>
        <v>7636.27</v>
      </c>
      <c r="F9" s="152">
        <f t="shared" si="1"/>
        <v>907.72</v>
      </c>
      <c r="G9" s="166">
        <f t="shared" si="4"/>
        <v>31.77</v>
      </c>
      <c r="H9" s="167">
        <f>'Benefit Statement'!G16</f>
        <v>0.4081</v>
      </c>
      <c r="I9" s="165">
        <f t="shared" si="2"/>
        <v>288.09</v>
      </c>
    </row>
    <row r="10" spans="1:9" s="10" customFormat="1" ht="15.75">
      <c r="A10" s="153" t="s">
        <v>62</v>
      </c>
      <c r="B10" s="165">
        <v>12623.05</v>
      </c>
      <c r="C10" s="152">
        <f t="shared" si="3"/>
        <v>378.69</v>
      </c>
      <c r="D10" s="152">
        <v>20172.79</v>
      </c>
      <c r="E10" s="152">
        <f t="shared" si="0"/>
        <v>8165.95</v>
      </c>
      <c r="F10" s="152">
        <f t="shared" si="1"/>
        <v>4457.1</v>
      </c>
      <c r="G10" s="166">
        <f t="shared" si="4"/>
        <v>156</v>
      </c>
      <c r="H10" s="167">
        <f>'Benefit Statement'!G17</f>
        <v>0.4048</v>
      </c>
      <c r="I10" s="165">
        <f t="shared" si="2"/>
        <v>534.69</v>
      </c>
    </row>
    <row r="11" spans="1:9" s="10" customFormat="1" ht="15.75">
      <c r="A11" s="153" t="s">
        <v>63</v>
      </c>
      <c r="B11" s="165">
        <v>12068.63</v>
      </c>
      <c r="C11" s="152">
        <f t="shared" si="3"/>
        <v>362.06</v>
      </c>
      <c r="D11" s="152">
        <v>21842.55</v>
      </c>
      <c r="E11" s="152">
        <f t="shared" si="0"/>
        <v>8271.77</v>
      </c>
      <c r="F11" s="152">
        <f t="shared" si="1"/>
        <v>3796.86</v>
      </c>
      <c r="G11" s="166">
        <f t="shared" si="4"/>
        <v>132.89</v>
      </c>
      <c r="H11" s="167">
        <f>'Benefit Statement'!G18</f>
        <v>0.3787</v>
      </c>
      <c r="I11" s="165">
        <f t="shared" si="2"/>
        <v>494.95</v>
      </c>
    </row>
    <row r="12" spans="1:9" s="10" customFormat="1" ht="15.75">
      <c r="A12" s="153" t="s">
        <v>64</v>
      </c>
      <c r="B12" s="165">
        <v>11939.78</v>
      </c>
      <c r="C12" s="152">
        <f t="shared" si="3"/>
        <v>358.19</v>
      </c>
      <c r="D12" s="152">
        <v>23303.59</v>
      </c>
      <c r="E12" s="152">
        <f t="shared" si="0"/>
        <v>9030.14</v>
      </c>
      <c r="F12" s="152">
        <f t="shared" si="1"/>
        <v>2909.64</v>
      </c>
      <c r="G12" s="166">
        <f t="shared" si="4"/>
        <v>101.84</v>
      </c>
      <c r="H12" s="167">
        <f>'Benefit Statement'!G19</f>
        <v>0.3875</v>
      </c>
      <c r="I12" s="165">
        <f t="shared" si="2"/>
        <v>460.03</v>
      </c>
    </row>
    <row r="13" spans="1:9" s="10" customFormat="1" ht="15.75">
      <c r="A13" s="153" t="s">
        <v>65</v>
      </c>
      <c r="B13" s="165">
        <v>13284.2</v>
      </c>
      <c r="C13" s="152">
        <f t="shared" si="3"/>
        <v>398.53</v>
      </c>
      <c r="D13" s="152">
        <v>24034.11</v>
      </c>
      <c r="E13" s="152">
        <f t="shared" si="0"/>
        <v>9798.71</v>
      </c>
      <c r="F13" s="152">
        <f t="shared" si="1"/>
        <v>3485.49</v>
      </c>
      <c r="G13" s="166">
        <f t="shared" si="4"/>
        <v>121.99</v>
      </c>
      <c r="H13" s="167">
        <f>'Benefit Statement'!G20</f>
        <v>0.4077</v>
      </c>
      <c r="I13" s="165">
        <f t="shared" si="2"/>
        <v>520.52</v>
      </c>
    </row>
    <row r="14" spans="1:9" s="10" customFormat="1" ht="15.75">
      <c r="A14" s="153" t="s">
        <v>66</v>
      </c>
      <c r="B14" s="165">
        <v>13019.24</v>
      </c>
      <c r="C14" s="152">
        <f t="shared" si="3"/>
        <v>390.58</v>
      </c>
      <c r="D14" s="152">
        <v>24034.11</v>
      </c>
      <c r="E14" s="152">
        <f t="shared" si="0"/>
        <v>9841.97</v>
      </c>
      <c r="F14" s="152">
        <f t="shared" si="1"/>
        <v>3177.27</v>
      </c>
      <c r="G14" s="166">
        <f t="shared" si="4"/>
        <v>111.2</v>
      </c>
      <c r="H14" s="167">
        <f>'Benefit Statement'!G21</f>
        <v>0.4095</v>
      </c>
      <c r="I14" s="165">
        <f t="shared" si="2"/>
        <v>501.78</v>
      </c>
    </row>
    <row r="15" spans="1:9" s="11" customFormat="1" ht="15.75">
      <c r="A15" s="168" t="s">
        <v>67</v>
      </c>
      <c r="B15" s="165">
        <v>13437.45</v>
      </c>
      <c r="C15" s="152">
        <f t="shared" si="3"/>
        <v>403.12</v>
      </c>
      <c r="D15" s="169">
        <v>24034.11</v>
      </c>
      <c r="E15" s="169">
        <f t="shared" si="0"/>
        <v>9841.97</v>
      </c>
      <c r="F15" s="169">
        <f t="shared" si="1"/>
        <v>3595.48</v>
      </c>
      <c r="G15" s="166">
        <f t="shared" si="4"/>
        <v>125.84</v>
      </c>
      <c r="H15" s="167">
        <f>'Benefit Statement'!G22</f>
        <v>0.4095</v>
      </c>
      <c r="I15" s="170">
        <f aca="true" t="shared" si="5" ref="I15:I20">SUM(C15+G15)</f>
        <v>528.96</v>
      </c>
    </row>
    <row r="16" spans="1:9" s="11" customFormat="1" ht="15.75">
      <c r="A16" s="168" t="s">
        <v>68</v>
      </c>
      <c r="B16" s="165">
        <v>15032.31</v>
      </c>
      <c r="C16" s="152">
        <f>SUM(B16*3%)</f>
        <v>450.97</v>
      </c>
      <c r="D16" s="169">
        <v>24034.11</v>
      </c>
      <c r="E16" s="169">
        <f>SUM(D16*H16)</f>
        <v>10454.84</v>
      </c>
      <c r="F16" s="169">
        <f>SUM(B16-E16)</f>
        <v>4577.47</v>
      </c>
      <c r="G16" s="166">
        <f>IF(F16*3.5%&lt;=0,"0",F16*3.5%)</f>
        <v>160.21</v>
      </c>
      <c r="H16" s="167">
        <f>'Benefit Statement'!G23</f>
        <v>0.435</v>
      </c>
      <c r="I16" s="170">
        <f t="shared" si="5"/>
        <v>611.18</v>
      </c>
    </row>
    <row r="17" spans="1:9" s="11" customFormat="1" ht="15.75">
      <c r="A17" s="168" t="s">
        <v>91</v>
      </c>
      <c r="B17" s="165">
        <v>14610.06</v>
      </c>
      <c r="C17" s="152">
        <f>SUM(B17*3%)</f>
        <v>438.3</v>
      </c>
      <c r="D17" s="169">
        <v>24034.11</v>
      </c>
      <c r="E17" s="169">
        <f>SUM(D17*H17)</f>
        <v>9810.72</v>
      </c>
      <c r="F17" s="169">
        <f>SUM(B17-E17)</f>
        <v>4799.34</v>
      </c>
      <c r="G17" s="166">
        <f>IF(F17*3.5%&lt;=0,"0",F17*3.5%)</f>
        <v>167.98</v>
      </c>
      <c r="H17" s="167">
        <f>'Benefit Statement'!G24</f>
        <v>0.4082</v>
      </c>
      <c r="I17" s="170">
        <f t="shared" si="5"/>
        <v>606.28</v>
      </c>
    </row>
    <row r="18" spans="1:9" s="10" customFormat="1" ht="15.75">
      <c r="A18" s="168" t="s">
        <v>92</v>
      </c>
      <c r="B18" s="165">
        <v>17909.62</v>
      </c>
      <c r="C18" s="152">
        <f>SUM(B18*3%)</f>
        <v>537.29</v>
      </c>
      <c r="D18" s="169">
        <v>24034.11</v>
      </c>
      <c r="E18" s="169">
        <f>SUM(D18*H18)</f>
        <v>12074.74</v>
      </c>
      <c r="F18" s="169">
        <f>SUM(B18-E18)</f>
        <v>5834.88</v>
      </c>
      <c r="G18" s="166">
        <f>IF(F18*3.5%&lt;=0,"0",F18*3.5%)</f>
        <v>204.22</v>
      </c>
      <c r="H18" s="167">
        <f>'Benefit Statement'!G25</f>
        <v>0.5024</v>
      </c>
      <c r="I18" s="170">
        <f t="shared" si="5"/>
        <v>741.51</v>
      </c>
    </row>
    <row r="19" spans="1:9" s="10" customFormat="1" ht="15.75">
      <c r="A19" s="168" t="s">
        <v>93</v>
      </c>
      <c r="B19" s="165">
        <v>23730</v>
      </c>
      <c r="C19" s="152">
        <f>SUM(B19*3%)</f>
        <v>711.9</v>
      </c>
      <c r="D19" s="169">
        <v>24034.11</v>
      </c>
      <c r="E19" s="169">
        <f>SUM(D19*H19)</f>
        <v>15629.38</v>
      </c>
      <c r="F19" s="169">
        <f>SUM(B19-E19)</f>
        <v>8100.62</v>
      </c>
      <c r="G19" s="166">
        <f>IF(F19*3.5%&lt;=0,"0",F19*3.5%)</f>
        <v>283.52</v>
      </c>
      <c r="H19" s="167">
        <f>'Benefit Statement'!G26</f>
        <v>0.6503</v>
      </c>
      <c r="I19" s="170">
        <f t="shared" si="5"/>
        <v>995.42</v>
      </c>
    </row>
    <row r="20" spans="1:9" s="10" customFormat="1" ht="15.75">
      <c r="A20" s="168" t="s">
        <v>94</v>
      </c>
      <c r="B20" s="165">
        <v>23730</v>
      </c>
      <c r="C20" s="152">
        <f>SUM(B20*3%)</f>
        <v>711.9</v>
      </c>
      <c r="D20" s="169">
        <v>24347.2</v>
      </c>
      <c r="E20" s="169">
        <f>SUM(D20*H20)</f>
        <v>15832.98</v>
      </c>
      <c r="F20" s="169">
        <f>SUM(B20-E20)</f>
        <v>7897.02</v>
      </c>
      <c r="G20" s="166">
        <f>IF(F20*3.5%&lt;=0,"0",F20*3.5%)</f>
        <v>276.4</v>
      </c>
      <c r="H20" s="167">
        <f>'Benefit Statement'!G27</f>
        <v>0.6503</v>
      </c>
      <c r="I20" s="170">
        <f t="shared" si="5"/>
        <v>988.3</v>
      </c>
    </row>
    <row r="21" spans="1:9" s="10" customFormat="1" ht="15.75">
      <c r="A21" s="171"/>
      <c r="B21" s="172"/>
      <c r="C21" s="173"/>
      <c r="D21" s="174"/>
      <c r="E21" s="174"/>
      <c r="F21" s="174"/>
      <c r="G21" s="173"/>
      <c r="H21" s="167"/>
      <c r="I21" s="175"/>
    </row>
    <row r="22" spans="1:9" s="10" customFormat="1" ht="15.75">
      <c r="A22" s="176"/>
      <c r="B22" s="177"/>
      <c r="C22" s="178" t="s">
        <v>1</v>
      </c>
      <c r="D22" s="178"/>
      <c r="E22" s="155"/>
      <c r="F22" s="155"/>
      <c r="G22" s="178" t="s">
        <v>1</v>
      </c>
      <c r="H22" s="151">
        <f>SUM(H5:H20)</f>
        <v>6.6917</v>
      </c>
      <c r="I22" s="152">
        <f>SUM(I5:I20)</f>
        <v>8041.15</v>
      </c>
    </row>
    <row r="23" spans="1:9" s="10" customFormat="1" ht="15.75">
      <c r="A23" s="155"/>
      <c r="B23" s="155"/>
      <c r="C23" s="155"/>
      <c r="D23" s="155"/>
      <c r="E23" s="155"/>
      <c r="F23" s="155"/>
      <c r="G23" s="155"/>
      <c r="H23" s="155"/>
      <c r="I23" s="155"/>
    </row>
    <row r="24" spans="1:9" s="10" customFormat="1" ht="15.75">
      <c r="A24" s="155" t="s">
        <v>69</v>
      </c>
      <c r="B24" s="179">
        <v>17318.19</v>
      </c>
      <c r="C24" s="180">
        <f>SUM(B24*1.5%)</f>
        <v>259.77</v>
      </c>
      <c r="D24" s="180">
        <v>14046.05</v>
      </c>
      <c r="E24" s="180">
        <f>SUM(B24-D24)</f>
        <v>3272.14</v>
      </c>
      <c r="F24" s="180">
        <f>IF(E24*3.5%&lt;=0,"0",E24*3.5%)</f>
        <v>114.52</v>
      </c>
      <c r="G24" s="180">
        <f>SUM(C24+F24)</f>
        <v>374.29</v>
      </c>
      <c r="H24" s="181">
        <v>0.0493</v>
      </c>
      <c r="I24" s="180">
        <f>SUM(G24*H24)</f>
        <v>18.45</v>
      </c>
    </row>
    <row r="25" spans="1:9" s="10" customFormat="1" ht="27.75" customHeight="1">
      <c r="A25" s="182" t="s">
        <v>118</v>
      </c>
      <c r="B25" s="182"/>
      <c r="C25" s="180" t="s">
        <v>1</v>
      </c>
      <c r="D25" s="155" t="s">
        <v>1</v>
      </c>
      <c r="E25" s="155" t="s">
        <v>1</v>
      </c>
      <c r="F25" s="155"/>
      <c r="G25" s="155" t="s">
        <v>1</v>
      </c>
      <c r="H25" s="183" t="s">
        <v>1</v>
      </c>
      <c r="I25" s="155" t="s">
        <v>1</v>
      </c>
    </row>
    <row r="26" spans="1:9" s="10" customFormat="1" ht="15.75">
      <c r="A26" s="155"/>
      <c r="B26" s="155"/>
      <c r="C26" s="155"/>
      <c r="D26" s="155"/>
      <c r="E26" s="155"/>
      <c r="F26" s="155"/>
      <c r="G26" s="155"/>
      <c r="H26" s="155" t="s">
        <v>70</v>
      </c>
      <c r="I26" s="178">
        <f>SUM(I22+I24)</f>
        <v>8059.6</v>
      </c>
    </row>
    <row r="27" spans="1:9" s="10" customFormat="1" ht="15.75">
      <c r="A27" s="155"/>
      <c r="B27" s="155"/>
      <c r="C27" s="155"/>
      <c r="D27" s="155"/>
      <c r="E27" s="155"/>
      <c r="F27" s="155"/>
      <c r="G27" s="155"/>
      <c r="H27" s="155" t="s">
        <v>71</v>
      </c>
      <c r="I27" s="165">
        <f>59.82+278.56+1137.9+4174.05</f>
        <v>5650.33</v>
      </c>
    </row>
    <row r="28" spans="1:9" ht="15.75">
      <c r="A28" s="155"/>
      <c r="B28" s="155"/>
      <c r="C28" s="155"/>
      <c r="D28" s="155"/>
      <c r="E28" s="155"/>
      <c r="F28" s="155"/>
      <c r="G28" s="155"/>
      <c r="H28" s="155"/>
      <c r="I28" s="155"/>
    </row>
    <row r="29" spans="1:9" ht="15.75">
      <c r="A29" s="155"/>
      <c r="B29" s="155"/>
      <c r="C29" s="155"/>
      <c r="D29" s="155"/>
      <c r="E29" s="155"/>
      <c r="F29" s="155"/>
      <c r="G29" s="155"/>
      <c r="H29" s="156" t="s">
        <v>72</v>
      </c>
      <c r="I29" s="157">
        <f>SUM(I26-I27)</f>
        <v>2409.27</v>
      </c>
    </row>
    <row r="30" spans="1:9" ht="15.75">
      <c r="A30" s="155"/>
      <c r="B30" s="155"/>
      <c r="C30" s="155"/>
      <c r="D30" s="155"/>
      <c r="E30" s="155"/>
      <c r="F30" s="155"/>
      <c r="G30" s="155"/>
      <c r="H30" s="155"/>
      <c r="I30" s="155"/>
    </row>
    <row r="31" spans="1:9" ht="15.75">
      <c r="A31" s="155"/>
      <c r="B31" s="155"/>
      <c r="C31" s="155"/>
      <c r="D31" s="155"/>
      <c r="E31" s="155"/>
      <c r="F31" s="155"/>
      <c r="G31" s="155"/>
      <c r="H31" s="155"/>
      <c r="I31" s="155"/>
    </row>
  </sheetData>
  <mergeCells count="2">
    <mergeCell ref="A1:I1"/>
    <mergeCell ref="A25:B25"/>
  </mergeCells>
  <printOptions/>
  <pageMargins left="0.7" right="0.7" top="0.75" bottom="0.75" header="0.3" footer="0.3"/>
  <pageSetup horizontalDpi="600" verticalDpi="600" orientation="landscape" paperSize="9" r:id="rId1"/>
  <headerFooter>
    <oddHeader>&amp;RPro-Rata Arrears - Non-Academic Officer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E13" sqref="E13"/>
    </sheetView>
  </sheetViews>
  <sheetFormatPr defaultColWidth="9.140625" defaultRowHeight="15"/>
  <cols>
    <col min="1" max="1" width="16.7109375" style="1" customWidth="1"/>
    <col min="2" max="2" width="17.421875" style="1" customWidth="1"/>
    <col min="3" max="3" width="13.421875" style="1" customWidth="1"/>
    <col min="4" max="6" width="12.00390625" style="1" customWidth="1"/>
    <col min="7" max="7" width="11.7109375" style="1" customWidth="1"/>
    <col min="8" max="8" width="12.8515625" style="1" customWidth="1"/>
    <col min="9" max="9" width="16.57421875" style="1" customWidth="1"/>
  </cols>
  <sheetData>
    <row r="1" spans="1:9" ht="15">
      <c r="A1" s="142" t="s">
        <v>117</v>
      </c>
      <c r="B1" s="142"/>
      <c r="C1" s="142"/>
      <c r="D1" s="142"/>
      <c r="E1" s="142"/>
      <c r="F1" s="142"/>
      <c r="G1" s="142"/>
      <c r="H1" s="142"/>
      <c r="I1" s="142"/>
    </row>
    <row r="2" spans="1:9" ht="15">
      <c r="A2" s="15" t="s">
        <v>47</v>
      </c>
      <c r="B2" s="194" t="str">
        <f>'Benefit Statement'!B3</f>
        <v xml:space="preserve"> </v>
      </c>
      <c r="C2" s="16"/>
      <c r="D2" s="17" t="s">
        <v>48</v>
      </c>
      <c r="E2" s="17" t="str">
        <f>'Benefit Statement'!G3</f>
        <v xml:space="preserve"> </v>
      </c>
      <c r="F2" s="17"/>
      <c r="G2" s="3" t="s">
        <v>1</v>
      </c>
      <c r="H2" s="19" t="s">
        <v>113</v>
      </c>
      <c r="I2" s="4" t="str">
        <f>'Benefit Statement'!G6</f>
        <v xml:space="preserve"> </v>
      </c>
    </row>
    <row r="3" spans="1:9" ht="15">
      <c r="A3" s="25" t="s">
        <v>1</v>
      </c>
      <c r="B3" s="59"/>
      <c r="C3" s="4"/>
      <c r="D3" s="4"/>
      <c r="E3" s="4"/>
      <c r="F3" s="4"/>
      <c r="G3" s="3"/>
      <c r="H3" s="3"/>
      <c r="I3" s="4"/>
    </row>
    <row r="4" spans="1:9" s="9" customFormat="1" ht="15">
      <c r="A4" s="195" t="s">
        <v>49</v>
      </c>
      <c r="B4" s="196" t="s">
        <v>50</v>
      </c>
      <c r="C4" s="197" t="s">
        <v>51</v>
      </c>
      <c r="D4" s="197" t="s">
        <v>52</v>
      </c>
      <c r="E4" s="197" t="s">
        <v>115</v>
      </c>
      <c r="F4" s="197"/>
      <c r="G4" s="198" t="s">
        <v>53</v>
      </c>
      <c r="H4" s="198" t="s">
        <v>55</v>
      </c>
      <c r="I4" s="197" t="s">
        <v>57</v>
      </c>
    </row>
    <row r="5" spans="1:9" ht="15">
      <c r="A5" s="25"/>
      <c r="B5" s="199"/>
      <c r="C5" s="200"/>
      <c r="D5" s="200"/>
      <c r="E5" s="200"/>
      <c r="F5" s="200"/>
      <c r="G5" s="201"/>
      <c r="H5" s="201"/>
      <c r="I5" s="200"/>
    </row>
    <row r="6" ht="15">
      <c r="A6" s="1" t="s">
        <v>116</v>
      </c>
    </row>
    <row r="7" spans="1:9" s="10" customFormat="1" ht="15">
      <c r="A7" s="25"/>
      <c r="B7" s="202"/>
      <c r="C7" s="4"/>
      <c r="D7" s="4"/>
      <c r="E7" s="203"/>
      <c r="F7" s="4"/>
      <c r="G7" s="4"/>
      <c r="H7" s="61"/>
      <c r="I7" s="202"/>
    </row>
    <row r="8" spans="1:9" s="10" customFormat="1" ht="15">
      <c r="A8" s="25" t="s">
        <v>58</v>
      </c>
      <c r="B8" s="202">
        <f>'Pro Rata Arrears'!B6</f>
        <v>7158.03</v>
      </c>
      <c r="C8" s="4">
        <f>SUM(B8*3%)</f>
        <v>214.74</v>
      </c>
      <c r="D8" s="4">
        <v>15372.23</v>
      </c>
      <c r="E8" s="203">
        <v>30</v>
      </c>
      <c r="F8" s="4">
        <f>SUM(D8/52*E8)</f>
        <v>8868.59</v>
      </c>
      <c r="G8" s="4">
        <f>SUM(B8-F8)</f>
        <v>-1710.56</v>
      </c>
      <c r="H8" s="61" t="str">
        <f>IF(G8*3.5%&lt;=0,"0",G8*3.5%)</f>
        <v>0</v>
      </c>
      <c r="I8" s="202">
        <f aca="true" t="shared" si="0" ref="I8:I22">SUM(C8+H8)</f>
        <v>214.74</v>
      </c>
    </row>
    <row r="9" spans="1:9" s="10" customFormat="1" ht="15">
      <c r="A9" s="25" t="s">
        <v>59</v>
      </c>
      <c r="B9" s="202">
        <f>'Pro Rata Arrears'!B7</f>
        <v>7348.16</v>
      </c>
      <c r="C9" s="4">
        <f>SUM(B9*3%)</f>
        <v>220.44</v>
      </c>
      <c r="D9" s="4">
        <v>16415.83</v>
      </c>
      <c r="E9" s="203">
        <v>30</v>
      </c>
      <c r="F9" s="4">
        <f aca="true" t="shared" si="1" ref="F9:F22">SUM(D9/52*E9)</f>
        <v>9470.67</v>
      </c>
      <c r="G9" s="4">
        <f aca="true" t="shared" si="2" ref="G9:G22">SUM(B9-F9)</f>
        <v>-2122.51</v>
      </c>
      <c r="H9" s="61" t="str">
        <f aca="true" t="shared" si="3" ref="H9:H22">IF(G9*3.5%&lt;=0,"0",G9*3.5%)</f>
        <v>0</v>
      </c>
      <c r="I9" s="202">
        <f t="shared" si="0"/>
        <v>220.44</v>
      </c>
    </row>
    <row r="10" spans="1:9" s="10" customFormat="1" ht="15">
      <c r="A10" s="25" t="s">
        <v>60</v>
      </c>
      <c r="B10" s="202">
        <f>'Pro Rata Arrears'!B8</f>
        <v>8280.98</v>
      </c>
      <c r="C10" s="4">
        <f aca="true" t="shared" si="4" ref="C10:C17">SUM(B10*3%)</f>
        <v>248.43</v>
      </c>
      <c r="D10" s="4">
        <v>17459.43</v>
      </c>
      <c r="E10" s="203">
        <v>30</v>
      </c>
      <c r="F10" s="4">
        <f t="shared" si="1"/>
        <v>10072.75</v>
      </c>
      <c r="G10" s="4">
        <f t="shared" si="2"/>
        <v>-1791.77</v>
      </c>
      <c r="H10" s="61" t="str">
        <f t="shared" si="3"/>
        <v>0</v>
      </c>
      <c r="I10" s="202">
        <f t="shared" si="0"/>
        <v>248.43</v>
      </c>
    </row>
    <row r="11" spans="1:9" s="10" customFormat="1" ht="15">
      <c r="A11" s="25" t="s">
        <v>61</v>
      </c>
      <c r="B11" s="202">
        <f>'Pro Rata Arrears'!B9</f>
        <v>8543.99</v>
      </c>
      <c r="C11" s="4">
        <f t="shared" si="4"/>
        <v>256.32</v>
      </c>
      <c r="D11" s="4">
        <v>18711.75</v>
      </c>
      <c r="E11" s="203">
        <v>30</v>
      </c>
      <c r="F11" s="4">
        <f t="shared" si="1"/>
        <v>10795.24</v>
      </c>
      <c r="G11" s="4">
        <f t="shared" si="2"/>
        <v>-2251.25</v>
      </c>
      <c r="H11" s="61" t="str">
        <f t="shared" si="3"/>
        <v>0</v>
      </c>
      <c r="I11" s="202">
        <f t="shared" si="0"/>
        <v>256.32</v>
      </c>
    </row>
    <row r="12" spans="1:9" s="10" customFormat="1" ht="15">
      <c r="A12" s="25" t="s">
        <v>62</v>
      </c>
      <c r="B12" s="202">
        <f>'Pro Rata Arrears'!B10</f>
        <v>12623.05</v>
      </c>
      <c r="C12" s="4">
        <f t="shared" si="4"/>
        <v>378.69</v>
      </c>
      <c r="D12" s="4">
        <v>20172.79</v>
      </c>
      <c r="E12" s="203">
        <v>34</v>
      </c>
      <c r="F12" s="4">
        <f t="shared" si="1"/>
        <v>13189.9</v>
      </c>
      <c r="G12" s="4">
        <f t="shared" si="2"/>
        <v>-566.85</v>
      </c>
      <c r="H12" s="61" t="str">
        <f t="shared" si="3"/>
        <v>0</v>
      </c>
      <c r="I12" s="202">
        <f t="shared" si="0"/>
        <v>378.69</v>
      </c>
    </row>
    <row r="13" spans="1:9" s="10" customFormat="1" ht="15">
      <c r="A13" s="25" t="s">
        <v>63</v>
      </c>
      <c r="B13" s="202">
        <f>'Pro Rata Arrears'!B11</f>
        <v>12068.63</v>
      </c>
      <c r="C13" s="4">
        <f t="shared" si="4"/>
        <v>362.06</v>
      </c>
      <c r="D13" s="4">
        <v>21842.55</v>
      </c>
      <c r="E13" s="203">
        <v>30</v>
      </c>
      <c r="F13" s="4">
        <f t="shared" si="1"/>
        <v>12601.47</v>
      </c>
      <c r="G13" s="4">
        <f t="shared" si="2"/>
        <v>-532.84</v>
      </c>
      <c r="H13" s="61" t="str">
        <f t="shared" si="3"/>
        <v>0</v>
      </c>
      <c r="I13" s="202">
        <f t="shared" si="0"/>
        <v>362.06</v>
      </c>
    </row>
    <row r="14" spans="1:9" s="10" customFormat="1" ht="15">
      <c r="A14" s="25" t="s">
        <v>64</v>
      </c>
      <c r="B14" s="202">
        <f>'Pro Rata Arrears'!B12</f>
        <v>11939.78</v>
      </c>
      <c r="C14" s="4">
        <f t="shared" si="4"/>
        <v>358.19</v>
      </c>
      <c r="D14" s="4">
        <v>23303.59</v>
      </c>
      <c r="E14" s="203">
        <v>30</v>
      </c>
      <c r="F14" s="4">
        <f t="shared" si="1"/>
        <v>13444.38</v>
      </c>
      <c r="G14" s="4">
        <f t="shared" si="2"/>
        <v>-1504.6</v>
      </c>
      <c r="H14" s="61" t="str">
        <f t="shared" si="3"/>
        <v>0</v>
      </c>
      <c r="I14" s="202">
        <f t="shared" si="0"/>
        <v>358.19</v>
      </c>
    </row>
    <row r="15" spans="1:9" s="10" customFormat="1" ht="15">
      <c r="A15" s="25" t="s">
        <v>65</v>
      </c>
      <c r="B15" s="202">
        <f>'Pro Rata Arrears'!B13</f>
        <v>13284.2</v>
      </c>
      <c r="C15" s="4">
        <f t="shared" si="4"/>
        <v>398.53</v>
      </c>
      <c r="D15" s="4">
        <v>24034.11</v>
      </c>
      <c r="E15" s="203">
        <v>30</v>
      </c>
      <c r="F15" s="4">
        <f t="shared" si="1"/>
        <v>13865.83</v>
      </c>
      <c r="G15" s="4">
        <f t="shared" si="2"/>
        <v>-581.63</v>
      </c>
      <c r="H15" s="61" t="str">
        <f t="shared" si="3"/>
        <v>0</v>
      </c>
      <c r="I15" s="202">
        <f t="shared" si="0"/>
        <v>398.53</v>
      </c>
    </row>
    <row r="16" spans="1:9" s="10" customFormat="1" ht="15">
      <c r="A16" s="25" t="s">
        <v>66</v>
      </c>
      <c r="B16" s="202">
        <f>'Pro Rata Arrears'!B14</f>
        <v>13019.24</v>
      </c>
      <c r="C16" s="4">
        <f t="shared" si="4"/>
        <v>390.58</v>
      </c>
      <c r="D16" s="4">
        <v>24034.11</v>
      </c>
      <c r="E16" s="203">
        <v>30</v>
      </c>
      <c r="F16" s="4">
        <f t="shared" si="1"/>
        <v>13865.83</v>
      </c>
      <c r="G16" s="4">
        <f t="shared" si="2"/>
        <v>-846.59</v>
      </c>
      <c r="H16" s="61" t="str">
        <f t="shared" si="3"/>
        <v>0</v>
      </c>
      <c r="I16" s="202">
        <f t="shared" si="0"/>
        <v>390.58</v>
      </c>
    </row>
    <row r="17" spans="1:9" s="11" customFormat="1" ht="15">
      <c r="A17" s="186" t="s">
        <v>67</v>
      </c>
      <c r="B17" s="202">
        <f>'Pro Rata Arrears'!B15</f>
        <v>13437.45</v>
      </c>
      <c r="C17" s="4">
        <f t="shared" si="4"/>
        <v>403.12</v>
      </c>
      <c r="D17" s="38">
        <v>24034.11</v>
      </c>
      <c r="E17" s="203">
        <v>30</v>
      </c>
      <c r="F17" s="4">
        <f t="shared" si="1"/>
        <v>13865.83</v>
      </c>
      <c r="G17" s="4">
        <f t="shared" si="2"/>
        <v>-428.38</v>
      </c>
      <c r="H17" s="61" t="str">
        <f t="shared" si="3"/>
        <v>0</v>
      </c>
      <c r="I17" s="204">
        <f t="shared" si="0"/>
        <v>403.12</v>
      </c>
    </row>
    <row r="18" spans="1:9" s="11" customFormat="1" ht="15">
      <c r="A18" s="186" t="s">
        <v>68</v>
      </c>
      <c r="B18" s="202">
        <f>'Pro Rata Arrears'!B16</f>
        <v>15032.31</v>
      </c>
      <c r="C18" s="4">
        <f>SUM(B18*3%)</f>
        <v>450.97</v>
      </c>
      <c r="D18" s="38">
        <v>24034.11</v>
      </c>
      <c r="E18" s="203">
        <v>34</v>
      </c>
      <c r="F18" s="4">
        <f t="shared" si="1"/>
        <v>15714.61</v>
      </c>
      <c r="G18" s="4">
        <f t="shared" si="2"/>
        <v>-682.3</v>
      </c>
      <c r="H18" s="61" t="str">
        <f t="shared" si="3"/>
        <v>0</v>
      </c>
      <c r="I18" s="204">
        <f t="shared" si="0"/>
        <v>450.97</v>
      </c>
    </row>
    <row r="19" spans="1:9" s="11" customFormat="1" ht="15">
      <c r="A19" s="186" t="s">
        <v>91</v>
      </c>
      <c r="B19" s="202">
        <f>'Pro Rata Arrears'!B17</f>
        <v>14610.06</v>
      </c>
      <c r="C19" s="4">
        <f>SUM(B19*3%)</f>
        <v>438.3</v>
      </c>
      <c r="D19" s="38">
        <v>24034.11</v>
      </c>
      <c r="E19" s="203">
        <v>34</v>
      </c>
      <c r="F19" s="4">
        <f t="shared" si="1"/>
        <v>15714.61</v>
      </c>
      <c r="G19" s="4">
        <f t="shared" si="2"/>
        <v>-1104.55</v>
      </c>
      <c r="H19" s="61" t="str">
        <f t="shared" si="3"/>
        <v>0</v>
      </c>
      <c r="I19" s="204">
        <f t="shared" si="0"/>
        <v>438.3</v>
      </c>
    </row>
    <row r="20" spans="1:9" s="10" customFormat="1" ht="15">
      <c r="A20" s="186" t="s">
        <v>92</v>
      </c>
      <c r="B20" s="202">
        <f>'Pro Rata Arrears'!B18</f>
        <v>17909.62</v>
      </c>
      <c r="C20" s="4">
        <f>SUM(B20*3%)</f>
        <v>537.29</v>
      </c>
      <c r="D20" s="38">
        <v>24034.11</v>
      </c>
      <c r="E20" s="203">
        <v>40</v>
      </c>
      <c r="F20" s="4">
        <f t="shared" si="1"/>
        <v>18487.78</v>
      </c>
      <c r="G20" s="4">
        <f t="shared" si="2"/>
        <v>-578.16</v>
      </c>
      <c r="H20" s="61" t="str">
        <f t="shared" si="3"/>
        <v>0</v>
      </c>
      <c r="I20" s="204">
        <f t="shared" si="0"/>
        <v>537.29</v>
      </c>
    </row>
    <row r="21" spans="1:9" s="10" customFormat="1" ht="15">
      <c r="A21" s="186" t="s">
        <v>93</v>
      </c>
      <c r="B21" s="202">
        <f>'Pro Rata Arrears'!B19</f>
        <v>23730</v>
      </c>
      <c r="C21" s="4">
        <f>SUM(B21*3%)</f>
        <v>711.9</v>
      </c>
      <c r="D21" s="38">
        <v>24034.11</v>
      </c>
      <c r="E21" s="203">
        <v>52</v>
      </c>
      <c r="F21" s="4">
        <f t="shared" si="1"/>
        <v>24034.11</v>
      </c>
      <c r="G21" s="4">
        <f t="shared" si="2"/>
        <v>-304.11</v>
      </c>
      <c r="H21" s="61" t="str">
        <f t="shared" si="3"/>
        <v>0</v>
      </c>
      <c r="I21" s="204">
        <f t="shared" si="0"/>
        <v>711.9</v>
      </c>
    </row>
    <row r="22" spans="1:9" s="10" customFormat="1" ht="15">
      <c r="A22" s="186" t="s">
        <v>94</v>
      </c>
      <c r="B22" s="202">
        <f>'Pro Rata Arrears'!B20</f>
        <v>23730</v>
      </c>
      <c r="C22" s="4">
        <f>SUM(B22*3%)</f>
        <v>711.9</v>
      </c>
      <c r="D22" s="38">
        <v>24034.11</v>
      </c>
      <c r="E22" s="203">
        <v>52</v>
      </c>
      <c r="F22" s="4">
        <f t="shared" si="1"/>
        <v>24034.11</v>
      </c>
      <c r="G22" s="4">
        <f t="shared" si="2"/>
        <v>-304.11</v>
      </c>
      <c r="H22" s="61" t="str">
        <f t="shared" si="3"/>
        <v>0</v>
      </c>
      <c r="I22" s="204">
        <f t="shared" si="0"/>
        <v>711.9</v>
      </c>
    </row>
    <row r="23" spans="1:9" s="10" customFormat="1" ht="15">
      <c r="A23" s="205"/>
      <c r="B23" s="206"/>
      <c r="C23" s="207"/>
      <c r="D23" s="208"/>
      <c r="E23" s="208"/>
      <c r="F23" s="208"/>
      <c r="G23" s="208"/>
      <c r="H23" s="207"/>
      <c r="I23" s="209"/>
    </row>
    <row r="24" spans="1:9" s="10" customFormat="1" ht="15">
      <c r="A24" s="210"/>
      <c r="B24" s="211"/>
      <c r="C24" s="212" t="s">
        <v>1</v>
      </c>
      <c r="D24" s="212"/>
      <c r="E24" s="212"/>
      <c r="F24" s="212"/>
      <c r="G24" s="1"/>
      <c r="H24" s="212" t="s">
        <v>1</v>
      </c>
      <c r="I24" s="4">
        <f>SUM(I5:I22)</f>
        <v>6081.46</v>
      </c>
    </row>
    <row r="25" spans="1:9" s="10" customFormat="1" ht="15">
      <c r="A25" s="1"/>
      <c r="B25" s="1"/>
      <c r="C25" s="1"/>
      <c r="D25" s="1"/>
      <c r="E25" s="1"/>
      <c r="F25" s="1"/>
      <c r="G25" s="1"/>
      <c r="H25" s="1"/>
      <c r="I25" s="1"/>
    </row>
    <row r="26" spans="1:9" s="10" customFormat="1" ht="15">
      <c r="A26" s="213" t="s">
        <v>120</v>
      </c>
      <c r="B26" s="213"/>
      <c r="C26" s="1"/>
      <c r="D26" s="1"/>
      <c r="E26" s="1"/>
      <c r="F26" s="1"/>
      <c r="G26" s="1"/>
      <c r="H26" s="1"/>
      <c r="I26" s="212">
        <v>5650.33</v>
      </c>
    </row>
    <row r="28" ht="15">
      <c r="I28" s="143">
        <f>SUM(I24-I26)</f>
        <v>431.13</v>
      </c>
    </row>
  </sheetData>
  <mergeCells count="2">
    <mergeCell ref="A1:I1"/>
    <mergeCell ref="A26:B2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&amp;RNon-Academic Officer  Limited Arrears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selection activeCell="C13" sqref="C13"/>
    </sheetView>
  </sheetViews>
  <sheetFormatPr defaultColWidth="9.140625" defaultRowHeight="15"/>
  <cols>
    <col min="1" max="1" width="18.7109375" style="1" customWidth="1"/>
    <col min="2" max="2" width="17.421875" style="41" customWidth="1"/>
    <col min="3" max="3" width="13.421875" style="1" customWidth="1"/>
    <col min="4" max="4" width="12.00390625" style="1" customWidth="1"/>
    <col min="5" max="5" width="11.7109375" style="1" customWidth="1"/>
    <col min="6" max="6" width="13.421875" style="1" customWidth="1"/>
    <col min="7" max="7" width="18.57421875" style="1" customWidth="1"/>
    <col min="8" max="8" width="12.7109375" style="1" customWidth="1"/>
  </cols>
  <sheetData>
    <row r="1" spans="1:9" ht="25.5" customHeight="1">
      <c r="A1" s="187" t="s">
        <v>89</v>
      </c>
      <c r="B1" s="188"/>
      <c r="C1" s="188"/>
      <c r="D1" s="188"/>
      <c r="E1" s="188"/>
      <c r="F1" s="189"/>
      <c r="G1" s="184" t="s">
        <v>90</v>
      </c>
      <c r="H1" s="185"/>
      <c r="I1" s="185"/>
    </row>
    <row r="2" spans="1:9" ht="15">
      <c r="A2" s="25"/>
      <c r="B2" s="2"/>
      <c r="C2" s="4"/>
      <c r="D2" s="4"/>
      <c r="E2" s="3"/>
      <c r="F2" s="3"/>
      <c r="G2" s="25" t="s">
        <v>58</v>
      </c>
      <c r="H2" s="4">
        <v>15372.23</v>
      </c>
      <c r="I2" s="1"/>
    </row>
    <row r="3" spans="1:9" ht="15">
      <c r="A3" s="14" t="s">
        <v>74</v>
      </c>
      <c r="B3" s="190" t="s">
        <v>75</v>
      </c>
      <c r="C3" s="16" t="s">
        <v>76</v>
      </c>
      <c r="D3" s="16" t="s">
        <v>77</v>
      </c>
      <c r="E3" s="19"/>
      <c r="F3" s="3"/>
      <c r="G3" s="25" t="s">
        <v>59</v>
      </c>
      <c r="H3" s="4">
        <v>16415.83</v>
      </c>
      <c r="I3" s="1"/>
    </row>
    <row r="4" spans="1:9" ht="15.75">
      <c r="A4" s="26"/>
      <c r="B4" s="27"/>
      <c r="C4" s="28" t="s">
        <v>78</v>
      </c>
      <c r="D4" s="28"/>
      <c r="E4" s="29"/>
      <c r="F4" s="29"/>
      <c r="G4" s="25" t="s">
        <v>60</v>
      </c>
      <c r="H4" s="4">
        <v>17459.43</v>
      </c>
      <c r="I4" s="1"/>
    </row>
    <row r="5" spans="1:9" ht="15">
      <c r="A5" s="30" t="s">
        <v>121</v>
      </c>
      <c r="B5" s="31">
        <v>0.2027</v>
      </c>
      <c r="C5" s="4">
        <v>92.43</v>
      </c>
      <c r="D5" s="32">
        <v>9645.99</v>
      </c>
      <c r="E5" s="4">
        <v>1955.24</v>
      </c>
      <c r="F5" s="4"/>
      <c r="G5" s="25" t="s">
        <v>61</v>
      </c>
      <c r="H5" s="4">
        <v>18711.75</v>
      </c>
      <c r="I5" s="1"/>
    </row>
    <row r="6" spans="1:9" ht="15">
      <c r="A6" s="30" t="s">
        <v>79</v>
      </c>
      <c r="B6" s="31">
        <v>0.5507</v>
      </c>
      <c r="C6" s="4">
        <v>95.23</v>
      </c>
      <c r="D6" s="32">
        <v>9938.2</v>
      </c>
      <c r="E6" s="4">
        <v>5472.97</v>
      </c>
      <c r="F6" s="4">
        <v>7428.21</v>
      </c>
      <c r="G6" s="25" t="s">
        <v>62</v>
      </c>
      <c r="H6" s="4">
        <v>20172.79</v>
      </c>
      <c r="I6" s="1"/>
    </row>
    <row r="7" spans="1:9" ht="15">
      <c r="A7" s="30"/>
      <c r="B7" s="31"/>
      <c r="C7" s="4"/>
      <c r="D7" s="32"/>
      <c r="E7" s="4"/>
      <c r="F7" s="4"/>
      <c r="G7" s="25" t="s">
        <v>63</v>
      </c>
      <c r="H7" s="4">
        <v>21842.55</v>
      </c>
      <c r="I7" s="1"/>
    </row>
    <row r="8" spans="1:9" ht="15">
      <c r="A8" s="30"/>
      <c r="B8" s="31"/>
      <c r="C8" s="4"/>
      <c r="D8" s="32"/>
      <c r="E8" s="4"/>
      <c r="F8" s="4"/>
      <c r="G8" s="25" t="s">
        <v>64</v>
      </c>
      <c r="H8" s="4">
        <v>23303.59</v>
      </c>
      <c r="I8" s="1"/>
    </row>
    <row r="9" spans="1:9" ht="15">
      <c r="A9" s="30" t="s">
        <v>80</v>
      </c>
      <c r="B9" s="31">
        <v>0.4438</v>
      </c>
      <c r="C9" s="4">
        <v>95.23</v>
      </c>
      <c r="D9" s="32">
        <v>9938.2</v>
      </c>
      <c r="E9" s="4">
        <v>4410.57</v>
      </c>
      <c r="F9" s="4"/>
      <c r="G9" s="25" t="s">
        <v>65</v>
      </c>
      <c r="H9" s="4">
        <v>24034.11</v>
      </c>
      <c r="I9" s="1"/>
    </row>
    <row r="10" spans="1:9" ht="15">
      <c r="A10" s="30" t="s">
        <v>81</v>
      </c>
      <c r="B10" s="31">
        <v>0.5562</v>
      </c>
      <c r="C10" s="4">
        <v>99.04</v>
      </c>
      <c r="D10" s="32">
        <v>10335.81</v>
      </c>
      <c r="E10" s="4">
        <v>5748.78</v>
      </c>
      <c r="F10" s="4">
        <v>10159.35</v>
      </c>
      <c r="G10" s="25" t="s">
        <v>66</v>
      </c>
      <c r="H10" s="4">
        <v>24034.11</v>
      </c>
      <c r="I10" s="1"/>
    </row>
    <row r="11" spans="1:9" ht="15">
      <c r="A11" s="25"/>
      <c r="B11" s="31"/>
      <c r="C11" s="4"/>
      <c r="D11" s="4"/>
      <c r="E11" s="4"/>
      <c r="F11" s="4"/>
      <c r="G11" s="186" t="s">
        <v>67</v>
      </c>
      <c r="H11" s="38">
        <v>24034.11</v>
      </c>
      <c r="I11" s="1"/>
    </row>
    <row r="12" spans="1:9" ht="15">
      <c r="A12" s="25" t="s">
        <v>82</v>
      </c>
      <c r="B12" s="31">
        <v>0.4247</v>
      </c>
      <c r="C12" s="4">
        <v>99.04</v>
      </c>
      <c r="D12" s="4">
        <v>10335.81</v>
      </c>
      <c r="E12" s="4">
        <v>4389.62</v>
      </c>
      <c r="F12" s="4"/>
      <c r="G12" s="186" t="s">
        <v>68</v>
      </c>
      <c r="H12" s="38">
        <v>24034.11</v>
      </c>
      <c r="I12" s="1"/>
    </row>
    <row r="13" spans="1:9" ht="15">
      <c r="A13" s="25" t="s">
        <v>82</v>
      </c>
      <c r="B13" s="31">
        <v>0.5753</v>
      </c>
      <c r="C13" s="4">
        <v>105.39</v>
      </c>
      <c r="D13" s="4">
        <v>10998.5</v>
      </c>
      <c r="E13" s="4">
        <v>6327.44</v>
      </c>
      <c r="F13" s="4">
        <v>10717.06</v>
      </c>
      <c r="G13" s="186" t="s">
        <v>91</v>
      </c>
      <c r="H13" s="38">
        <v>24034.11</v>
      </c>
      <c r="I13" s="1"/>
    </row>
    <row r="14" spans="1:9" ht="15">
      <c r="A14" s="25"/>
      <c r="B14" s="31"/>
      <c r="C14" s="4"/>
      <c r="D14" s="4"/>
      <c r="E14" s="4"/>
      <c r="F14" s="4"/>
      <c r="G14" s="186" t="s">
        <v>92</v>
      </c>
      <c r="H14" s="38">
        <v>24034.11</v>
      </c>
      <c r="I14" s="1"/>
    </row>
    <row r="15" spans="1:9" ht="15">
      <c r="A15" s="25" t="s">
        <v>83</v>
      </c>
      <c r="B15" s="31">
        <v>0.4192</v>
      </c>
      <c r="C15" s="4">
        <v>105.39</v>
      </c>
      <c r="D15" s="4">
        <v>10998.5</v>
      </c>
      <c r="E15" s="4">
        <v>4610.57</v>
      </c>
      <c r="F15" s="4"/>
      <c r="G15" s="186" t="s">
        <v>93</v>
      </c>
      <c r="H15" s="38">
        <v>24034.11</v>
      </c>
      <c r="I15" s="1"/>
    </row>
    <row r="16" spans="1:8" s="12" customFormat="1" ht="15">
      <c r="A16" s="34" t="s">
        <v>84</v>
      </c>
      <c r="B16" s="35">
        <v>0.5808</v>
      </c>
      <c r="C16" s="36">
        <v>113.01</v>
      </c>
      <c r="D16" s="36">
        <v>11793.72</v>
      </c>
      <c r="E16" s="36">
        <v>6849.79</v>
      </c>
      <c r="F16" s="36">
        <v>11460.37</v>
      </c>
      <c r="G16" s="186" t="s">
        <v>94</v>
      </c>
      <c r="H16" s="38">
        <v>24347.2</v>
      </c>
    </row>
    <row r="17" spans="1:6" ht="15">
      <c r="A17" s="25"/>
      <c r="B17" s="31"/>
      <c r="C17" s="4"/>
      <c r="D17" s="4"/>
      <c r="E17" s="4"/>
      <c r="F17" s="4"/>
    </row>
    <row r="18" spans="1:6" ht="15">
      <c r="A18" s="25" t="s">
        <v>85</v>
      </c>
      <c r="B18" s="31">
        <v>0.3397</v>
      </c>
      <c r="C18" s="4">
        <v>113.01</v>
      </c>
      <c r="D18" s="4">
        <v>11793.72</v>
      </c>
      <c r="E18" s="4">
        <v>4006.33</v>
      </c>
      <c r="F18" s="4"/>
    </row>
    <row r="19" spans="1:6" ht="15">
      <c r="A19" s="25" t="s">
        <v>86</v>
      </c>
      <c r="B19" s="31">
        <v>0.6603</v>
      </c>
      <c r="C19" s="4">
        <v>121.89</v>
      </c>
      <c r="D19" s="4">
        <v>12720.44</v>
      </c>
      <c r="E19" s="4">
        <v>8399.31</v>
      </c>
      <c r="F19" s="4">
        <v>12405.63</v>
      </c>
    </row>
    <row r="20" spans="1:6" ht="15">
      <c r="A20" s="25"/>
      <c r="B20" s="31"/>
      <c r="C20" s="4"/>
      <c r="D20" s="4"/>
      <c r="E20" s="4"/>
      <c r="F20" s="4"/>
    </row>
    <row r="21" spans="1:6" ht="15">
      <c r="A21" s="25" t="s">
        <v>87</v>
      </c>
      <c r="B21" s="31">
        <v>0.2603</v>
      </c>
      <c r="C21" s="4">
        <v>121.89</v>
      </c>
      <c r="D21" s="4">
        <v>12720.44</v>
      </c>
      <c r="E21" s="4">
        <v>3311.13</v>
      </c>
      <c r="F21" s="4"/>
    </row>
    <row r="22" spans="1:6" ht="15">
      <c r="A22" s="25" t="s">
        <v>88</v>
      </c>
      <c r="B22" s="31">
        <v>0.7397</v>
      </c>
      <c r="C22" s="4">
        <v>134.59</v>
      </c>
      <c r="D22" s="4">
        <v>14045.81</v>
      </c>
      <c r="E22" s="4">
        <v>10389.69</v>
      </c>
      <c r="F22" s="4">
        <v>13700.82</v>
      </c>
    </row>
    <row r="23" spans="1:8" s="13" customFormat="1" ht="15">
      <c r="A23" s="33"/>
      <c r="B23" s="37"/>
      <c r="C23" s="38"/>
      <c r="D23" s="38"/>
      <c r="E23" s="38"/>
      <c r="F23" s="38"/>
      <c r="G23" s="39"/>
      <c r="H23" s="39"/>
    </row>
    <row r="24" spans="1:6" ht="15">
      <c r="A24" s="40" t="s">
        <v>58</v>
      </c>
      <c r="B24" s="31">
        <v>52.18</v>
      </c>
      <c r="C24" s="4">
        <v>147.3</v>
      </c>
      <c r="D24" s="38">
        <v>15372.23</v>
      </c>
      <c r="E24" s="38" t="s">
        <v>1</v>
      </c>
      <c r="F24" s="38"/>
    </row>
    <row r="25" spans="1:6" ht="15">
      <c r="A25" s="25"/>
      <c r="B25" s="2"/>
      <c r="C25" s="4"/>
      <c r="D25" s="4"/>
      <c r="E25" s="3"/>
      <c r="F25" s="3"/>
    </row>
    <row r="26" spans="1:6" ht="15">
      <c r="A26" s="25" t="s">
        <v>59</v>
      </c>
      <c r="B26" s="2">
        <v>52.18</v>
      </c>
      <c r="C26" s="4">
        <v>157.3</v>
      </c>
      <c r="D26" s="4">
        <v>16415.83</v>
      </c>
      <c r="E26" s="3"/>
      <c r="F26" s="3"/>
    </row>
    <row r="27" spans="1:6" ht="15">
      <c r="A27" s="25"/>
      <c r="B27" s="2"/>
      <c r="C27" s="4"/>
      <c r="D27" s="4"/>
      <c r="E27" s="3"/>
      <c r="F27" s="3"/>
    </row>
    <row r="28" spans="1:6" ht="15">
      <c r="A28" s="25" t="s">
        <v>60</v>
      </c>
      <c r="B28" s="2">
        <v>52.18</v>
      </c>
      <c r="C28" s="4">
        <v>167.3</v>
      </c>
      <c r="D28" s="4">
        <v>17459.43</v>
      </c>
      <c r="E28" s="3"/>
      <c r="F28" s="3"/>
    </row>
    <row r="29" spans="1:6" ht="15">
      <c r="A29" s="25"/>
      <c r="B29" s="2"/>
      <c r="C29" s="4"/>
      <c r="D29" s="4"/>
      <c r="E29" s="3"/>
      <c r="F29" s="3"/>
    </row>
    <row r="30" spans="1:6" ht="15">
      <c r="A30" s="25" t="s">
        <v>61</v>
      </c>
      <c r="B30" s="2">
        <v>52.18</v>
      </c>
      <c r="C30" s="4">
        <v>179.3</v>
      </c>
      <c r="D30" s="4">
        <v>18711.75</v>
      </c>
      <c r="E30" s="3"/>
      <c r="F30" s="3"/>
    </row>
    <row r="31" spans="1:6" ht="15">
      <c r="A31" s="25"/>
      <c r="B31" s="2"/>
      <c r="C31" s="4"/>
      <c r="D31" s="4"/>
      <c r="E31" s="3"/>
      <c r="F31" s="3"/>
    </row>
    <row r="32" spans="1:6" ht="15">
      <c r="A32" s="25" t="s">
        <v>62</v>
      </c>
      <c r="B32" s="2">
        <v>52.18</v>
      </c>
      <c r="C32" s="4">
        <v>193.3</v>
      </c>
      <c r="D32" s="4">
        <v>20172.79</v>
      </c>
      <c r="E32" s="3"/>
      <c r="F32" s="3"/>
    </row>
    <row r="33" spans="1:6" ht="15">
      <c r="A33" s="3"/>
      <c r="B33" s="2"/>
      <c r="C33" s="3"/>
      <c r="D33" s="3"/>
      <c r="E33" s="3"/>
      <c r="F33" s="3"/>
    </row>
    <row r="34" spans="1:6" ht="15">
      <c r="A34" s="3" t="s">
        <v>63</v>
      </c>
      <c r="B34" s="2">
        <v>52.18</v>
      </c>
      <c r="C34" s="5">
        <v>209.3</v>
      </c>
      <c r="D34" s="5">
        <v>21842.55</v>
      </c>
      <c r="E34" s="3"/>
      <c r="F34" s="3"/>
    </row>
    <row r="35" spans="1:6" ht="15">
      <c r="A35" s="3"/>
      <c r="B35" s="2"/>
      <c r="C35" s="3"/>
      <c r="D35" s="3"/>
      <c r="E35" s="3"/>
      <c r="F35" s="3"/>
    </row>
    <row r="36" spans="1:6" ht="15">
      <c r="A36" s="3" t="s">
        <v>64</v>
      </c>
      <c r="B36" s="2">
        <v>52.18</v>
      </c>
      <c r="C36" s="5">
        <v>223.3</v>
      </c>
      <c r="D36" s="5">
        <v>23303.59</v>
      </c>
      <c r="E36" s="3"/>
      <c r="F36" s="3"/>
    </row>
    <row r="37" spans="1:6" ht="15">
      <c r="A37" s="3"/>
      <c r="B37" s="2"/>
      <c r="C37" s="3"/>
      <c r="D37" s="3"/>
      <c r="E37" s="3"/>
      <c r="F37" s="3"/>
    </row>
    <row r="38" spans="1:6" ht="15">
      <c r="A38" s="3" t="s">
        <v>65</v>
      </c>
      <c r="B38" s="2">
        <v>52.18</v>
      </c>
      <c r="C38" s="5">
        <v>230.3</v>
      </c>
      <c r="D38" s="5">
        <v>24034.11</v>
      </c>
      <c r="E38" s="3"/>
      <c r="F38" s="3"/>
    </row>
    <row r="42" spans="1:2" ht="15">
      <c r="A42" s="1" t="s">
        <v>1</v>
      </c>
      <c r="B42" s="41" t="s">
        <v>1</v>
      </c>
    </row>
    <row r="44" spans="1:2" ht="15">
      <c r="A44" s="1" t="s">
        <v>1</v>
      </c>
      <c r="B44" s="41" t="s">
        <v>1</v>
      </c>
    </row>
    <row r="46" spans="1:2" ht="15">
      <c r="A46" s="1" t="s">
        <v>1</v>
      </c>
      <c r="B46" s="41" t="s">
        <v>1</v>
      </c>
    </row>
    <row r="49" ht="15">
      <c r="A49" s="1" t="s">
        <v>1</v>
      </c>
    </row>
    <row r="51" ht="15">
      <c r="A51" s="1" t="s">
        <v>1</v>
      </c>
    </row>
  </sheetData>
  <mergeCells count="2">
    <mergeCell ref="G1:I1"/>
    <mergeCell ref="A1:F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&amp;RSCP Rates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abSelected="1" workbookViewId="0" topLeftCell="A1">
      <selection activeCell="B12" sqref="B12"/>
    </sheetView>
  </sheetViews>
  <sheetFormatPr defaultColWidth="9.140625" defaultRowHeight="15"/>
  <cols>
    <col min="1" max="1" width="6.7109375" style="0" customWidth="1"/>
    <col min="2" max="2" width="24.7109375" style="0" bestFit="1" customWidth="1"/>
  </cols>
  <sheetData>
    <row r="1" spans="1:2" ht="15">
      <c r="A1" s="185" t="s">
        <v>40</v>
      </c>
      <c r="B1" s="185"/>
    </row>
    <row r="3" spans="1:8" s="8" customFormat="1" ht="36" customHeight="1">
      <c r="A3" s="191">
        <v>1</v>
      </c>
      <c r="B3" s="192" t="s">
        <v>122</v>
      </c>
      <c r="C3" s="192"/>
      <c r="D3" s="192"/>
      <c r="E3" s="192"/>
      <c r="F3" s="192"/>
      <c r="G3" s="192"/>
      <c r="H3" s="192"/>
    </row>
    <row r="4" spans="1:8" ht="15">
      <c r="A4" s="191">
        <v>2</v>
      </c>
      <c r="B4" s="193" t="s">
        <v>123</v>
      </c>
      <c r="C4" s="193"/>
      <c r="D4" s="193"/>
      <c r="E4" s="193"/>
      <c r="F4" s="193"/>
      <c r="G4" s="193"/>
      <c r="H4" s="193"/>
    </row>
    <row r="5" spans="1:8" ht="15">
      <c r="A5" s="191">
        <v>3</v>
      </c>
      <c r="B5" s="193" t="s">
        <v>124</v>
      </c>
      <c r="C5" s="193"/>
      <c r="D5" s="193"/>
      <c r="E5" s="193"/>
      <c r="F5" s="193"/>
      <c r="G5" s="193"/>
      <c r="H5" s="193"/>
    </row>
    <row r="6" spans="1:8" ht="15">
      <c r="A6" s="191">
        <v>4</v>
      </c>
      <c r="B6" s="193" t="s">
        <v>125</v>
      </c>
      <c r="C6" s="193"/>
      <c r="D6" s="193"/>
      <c r="E6" s="193"/>
      <c r="F6" s="193"/>
      <c r="G6" s="193"/>
      <c r="H6" s="193"/>
    </row>
    <row r="7" spans="1:8" ht="33.75" customHeight="1">
      <c r="A7" s="191">
        <v>5</v>
      </c>
      <c r="B7" s="192" t="s">
        <v>126</v>
      </c>
      <c r="C7" s="192"/>
      <c r="D7" s="192"/>
      <c r="E7" s="192"/>
      <c r="F7" s="192"/>
      <c r="G7" s="192"/>
      <c r="H7" s="192"/>
    </row>
  </sheetData>
  <mergeCells count="6">
    <mergeCell ref="B3:H3"/>
    <mergeCell ref="A1:B1"/>
    <mergeCell ref="B4:H4"/>
    <mergeCell ref="B5:H5"/>
    <mergeCell ref="B6:H6"/>
    <mergeCell ref="B7:H7"/>
  </mergeCells>
  <printOptions/>
  <pageMargins left="0.7086614173228347" right="0.7086614173228347" top="0.7480314960629921" bottom="0.7480314960629921" header="0.31496062992125984" footer="0.31496062992125984"/>
  <pageSetup horizontalDpi="600" verticalDpi="600" orientation="portrait" r:id="rId1"/>
  <headerFooter>
    <oddHeader>&amp;RGeneral Notes on Spreadsheets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2016-06-28T10:42:06Z</dcterms:modified>
  <cp:category/>
  <cp:version/>
  <cp:contentType/>
  <cp:contentStatus/>
</cp:coreProperties>
</file>