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Academic" sheetId="1" r:id="rId1"/>
    <sheet name="Pro Rata Arrears" sheetId="2" r:id="rId2"/>
    <sheet name="SPC Rates" sheetId="3" r:id="rId3"/>
    <sheet name="Limited Arrears" sheetId="4" r:id="rId4"/>
    <sheet name="General Notes on spreadsheets" sheetId="5" r:id="rId5"/>
  </sheets>
  <externalReferences>
    <externalReference r:id="rId8"/>
  </externalReferences>
  <definedNames/>
  <calcPr fullCalcOnLoad="1" fullPrecision="0"/>
</workbook>
</file>

<file path=xl/comments1.xml><?xml version="1.0" encoding="utf-8"?>
<comments xmlns="http://schemas.openxmlformats.org/spreadsheetml/2006/main">
  <authors>
    <author>Author</author>
  </authors>
  <commentList>
    <comment ref="B7" authorId="0">
      <text>
        <r>
          <rPr>
            <sz val="8"/>
            <rFont val="Tahoma"/>
            <family val="2"/>
          </rPr>
          <t>WTE salary part-time hourly rate x wholetime equivalent hours
or WTE PRT salary at retirement</t>
        </r>
      </text>
    </comment>
    <comment ref="F10" authorId="0">
      <text>
        <r>
          <rPr>
            <sz val="8"/>
            <rFont val="Tahoma"/>
            <family val="2"/>
          </rPr>
          <t>Please ensure the correct wte divisor is used for the years in question and drag formula down the cells.Please check formula has been copied correctly</t>
        </r>
      </text>
    </comment>
    <comment ref="G10" authorId="0">
      <text>
        <r>
          <rPr>
            <sz val="8"/>
            <rFont val="Tahoma"/>
            <family val="2"/>
          </rPr>
          <t xml:space="preserve">ensure a max of 1 year is reckonable.If amount is greater than one, manually adjust
</t>
        </r>
      </text>
    </comment>
    <comment ref="H10" authorId="0">
      <text>
        <r>
          <rPr>
            <sz val="8"/>
            <rFont val="Tahoma"/>
            <family val="2"/>
          </rPr>
          <t xml:space="preserve">ensure 1 is inputted for each year under limited membership.If no hours are reckonable, manually adjust to 0
</t>
        </r>
      </text>
    </comment>
    <comment ref="D32" authorId="0">
      <text>
        <r>
          <rPr>
            <sz val="8"/>
            <rFont val="Tahoma"/>
            <family val="2"/>
          </rPr>
          <t xml:space="preserve">wte salary x total pro-rata service
</t>
        </r>
      </text>
    </comment>
    <comment ref="G32" authorId="0">
      <text>
        <r>
          <rPr>
            <sz val="8"/>
            <rFont val="Tahoma"/>
            <family val="2"/>
          </rPr>
          <t>ensure 1 is inputted for each year under limited membership.If no hours are reckonable, manually adjust to 0</t>
        </r>
      </text>
    </comment>
    <comment ref="H49" authorId="0">
      <text>
        <r>
          <rPr>
            <sz val="8"/>
            <rFont val="Tahoma"/>
            <family val="2"/>
          </rPr>
          <t xml:space="preserve">input any outstanding contributions
</t>
        </r>
      </text>
    </comment>
    <comment ref="E56" authorId="0">
      <text>
        <r>
          <rPr>
            <sz val="8"/>
            <rFont val="Tahoma"/>
            <family val="2"/>
          </rPr>
          <t xml:space="preserve">Twice the annual state pension contributory amount
</t>
        </r>
      </text>
    </comment>
    <comment ref="D57" authorId="0">
      <text>
        <r>
          <rPr>
            <sz val="8"/>
            <rFont val="Tahoma"/>
            <family val="2"/>
          </rPr>
          <t xml:space="preserve">wte salary x total pro-rata service
</t>
        </r>
      </text>
    </comment>
    <comment ref="E57" authorId="0">
      <text>
        <r>
          <rPr>
            <sz val="8"/>
            <rFont val="Tahoma"/>
            <family val="2"/>
          </rPr>
          <t xml:space="preserve">if there's a change, please amend formula and drag down
</t>
        </r>
      </text>
    </comment>
    <comment ref="G57" authorId="0">
      <text>
        <r>
          <rPr>
            <sz val="8"/>
            <rFont val="Tahoma"/>
            <family val="2"/>
          </rPr>
          <t xml:space="preserve">ensure 1 is inputted for each year under limited membership.If no hours are reckonable, manually adjust to 0
</t>
        </r>
      </text>
    </comment>
    <comment ref="G90" authorId="0">
      <text>
        <r>
          <rPr>
            <sz val="8"/>
            <rFont val="Tahoma"/>
            <family val="2"/>
          </rPr>
          <t xml:space="preserve">pro-rata service
</t>
        </r>
      </text>
    </comment>
    <comment ref="H91" authorId="0">
      <text>
        <r>
          <rPr>
            <sz val="8"/>
            <rFont val="Tahoma"/>
            <family val="2"/>
          </rPr>
          <t>input any outstanding contributions</t>
        </r>
      </text>
    </comment>
    <comment ref="E95" authorId="0">
      <text>
        <r>
          <rPr>
            <sz val="8"/>
            <rFont val="Tahoma"/>
            <family val="2"/>
          </rPr>
          <t xml:space="preserve">adjust formula accordingly when rate changes
</t>
        </r>
      </text>
    </comment>
    <comment ref="B98" authorId="0">
      <text>
        <r>
          <rPr>
            <sz val="8"/>
            <rFont val="Tahoma"/>
            <family val="2"/>
          </rPr>
          <t>input correct figure in accordance with rule  3.3333333 x annual SPC. IF less than this amount, input annual salary.If more, input max rule above</t>
        </r>
      </text>
    </comment>
    <comment ref="B99" authorId="0">
      <text>
        <r>
          <rPr>
            <sz val="8"/>
            <rFont val="Tahoma"/>
            <family val="2"/>
          </rPr>
          <t>input balance above 3.3333333 x annual SPC</t>
        </r>
      </text>
    </comment>
  </commentList>
</comments>
</file>

<file path=xl/comments2.xml><?xml version="1.0" encoding="utf-8"?>
<comments xmlns="http://schemas.openxmlformats.org/spreadsheetml/2006/main">
  <authors>
    <author>Author</author>
  </authors>
  <commentList>
    <comment ref="A18" authorId="0">
      <text>
        <r>
          <rPr>
            <b/>
            <sz val="9"/>
            <rFont val="Tahoma"/>
            <family val="2"/>
          </rPr>
          <t>Insert line before this line</t>
        </r>
        <r>
          <rPr>
            <sz val="9"/>
            <rFont val="Tahoma"/>
            <family val="2"/>
          </rPr>
          <t xml:space="preserve">
</t>
        </r>
      </text>
    </comment>
  </commentList>
</comments>
</file>

<file path=xl/comments3.xml><?xml version="1.0" encoding="utf-8"?>
<comments xmlns="http://schemas.openxmlformats.org/spreadsheetml/2006/main">
  <authors>
    <author>Author</author>
  </authors>
  <commentList>
    <comment ref="A15" authorId="0">
      <text>
        <r>
          <rPr>
            <b/>
            <sz val="9"/>
            <rFont val="Tahoma"/>
            <family val="2"/>
          </rPr>
          <t>Insert line before this line</t>
        </r>
        <r>
          <rPr>
            <sz val="9"/>
            <rFont val="Tahoma"/>
            <family val="2"/>
          </rPr>
          <t xml:space="preserve">
</t>
        </r>
      </text>
    </comment>
  </commentList>
</comments>
</file>

<file path=xl/sharedStrings.xml><?xml version="1.0" encoding="utf-8"?>
<sst xmlns="http://schemas.openxmlformats.org/spreadsheetml/2006/main" count="215" uniqueCount="122">
  <si>
    <t>Part Time Service</t>
  </si>
  <si>
    <t>Ltd Service</t>
  </si>
  <si>
    <t xml:space="preserve"> </t>
  </si>
  <si>
    <t>Years</t>
  </si>
  <si>
    <t>Over All Total</t>
  </si>
  <si>
    <t>Pension</t>
  </si>
  <si>
    <t>P/ Time Lump Sum</t>
  </si>
  <si>
    <t>WTE Salary</t>
  </si>
  <si>
    <t>Nett Lump Sum</t>
  </si>
  <si>
    <t>SERVICE</t>
  </si>
  <si>
    <t>PENSION</t>
  </si>
  <si>
    <t>Pension 1/200</t>
  </si>
  <si>
    <t>Pension 1/80</t>
  </si>
  <si>
    <t>x Notional Full Time Service</t>
  </si>
  <si>
    <t>Over 3/80 (Lump Sum)</t>
  </si>
  <si>
    <t>Gross Lump Sum</t>
  </si>
  <si>
    <t>WTE Salary at Retirement</t>
  </si>
  <si>
    <t>Up Rated Pro Rata Salary at Retirement</t>
  </si>
  <si>
    <t>2 x SPC at Retirement</t>
  </si>
  <si>
    <t>Over 1/80 (Pension)</t>
  </si>
  <si>
    <t>Nett Pensionable Remuneration at Retirement</t>
  </si>
  <si>
    <t>Limited Membership Pension</t>
  </si>
  <si>
    <t>Ltd Membership Pension P.A.</t>
  </si>
  <si>
    <t>REVISED PRO RATA INTEGRATION Lump Sum &amp; Pension</t>
  </si>
  <si>
    <t>LIMITED MEMBERSHIP (LTD)  Lump Sum &amp; Pension (D/PER)</t>
  </si>
  <si>
    <t>LTD MEMBERSHIP LUMP SUM</t>
  </si>
  <si>
    <t>Pro Rata LUMP SUM</t>
  </si>
  <si>
    <t>x Total Pro Rata Service</t>
  </si>
  <si>
    <t>WTE Salary x Pr Service x 3/80</t>
  </si>
  <si>
    <t>Pension calculated in 2 stages, 1st 3.333333 SCP x 1/200th x svce</t>
  </si>
  <si>
    <t>2nd stage is remainder x 1/80th x svce</t>
  </si>
  <si>
    <t>Note under Pro Rata Whole Time Equivalent (WTE) Salary is used in all calculations</t>
  </si>
  <si>
    <t>Total Pro Rata Pension P.A.</t>
  </si>
  <si>
    <t>Part time Pro Rata Service</t>
  </si>
  <si>
    <t>Total Pro Rata Service</t>
  </si>
  <si>
    <t xml:space="preserve">3.3333333x SPC = </t>
  </si>
  <si>
    <t>PRT Teacher Salary:</t>
  </si>
  <si>
    <t>Contract Value if applicable (PRT service)</t>
  </si>
  <si>
    <t>P/T Hrs Reckonable hours</t>
  </si>
  <si>
    <t>2001/02</t>
  </si>
  <si>
    <t>2002/03</t>
  </si>
  <si>
    <t>2003/04</t>
  </si>
  <si>
    <t>2004/05</t>
  </si>
  <si>
    <t>2005/06</t>
  </si>
  <si>
    <t>2006/07</t>
  </si>
  <si>
    <t>2007/08</t>
  </si>
  <si>
    <t>2008/09</t>
  </si>
  <si>
    <t>2009/10</t>
  </si>
  <si>
    <t>2010/11</t>
  </si>
  <si>
    <t>2011/12</t>
  </si>
  <si>
    <t>2012/13</t>
  </si>
  <si>
    <t>2013/14</t>
  </si>
  <si>
    <t>2014/15</t>
  </si>
  <si>
    <t>Disclaimer: Every effort has been made to ensure the accuracy of this template. However, as this is not a contractual document, it bears no right to benefit. All benefits from the superannuation scheme are governed by the scheme rules as set out as appropriate in the Superannuation Acts, Circulars and/or other instruments which comprise the scheme and are also subject to any other relevant legislation. It should also be noted that this statement is not suitable for use in Family Law cases.</t>
  </si>
  <si>
    <t>NOTES ON SPREADSHEETS:</t>
  </si>
  <si>
    <t>Name</t>
  </si>
  <si>
    <t>Address</t>
  </si>
  <si>
    <t>PPS No</t>
  </si>
  <si>
    <t>Date of Birth</t>
  </si>
  <si>
    <t>Benefit Date</t>
  </si>
  <si>
    <t xml:space="preserve">Name: </t>
  </si>
  <si>
    <t>Location</t>
  </si>
  <si>
    <t>Year</t>
  </si>
  <si>
    <t>Actual Salary</t>
  </si>
  <si>
    <t>Gross Pens</t>
  </si>
  <si>
    <t>SPC</t>
  </si>
  <si>
    <t xml:space="preserve"> Pro Rata</t>
  </si>
  <si>
    <t>Nett Pay</t>
  </si>
  <si>
    <t>Nett Pens</t>
  </si>
  <si>
    <t xml:space="preserve">Pro Rata Pens </t>
  </si>
  <si>
    <t>Service</t>
  </si>
  <si>
    <t>01.09.01 - 31.08.02</t>
  </si>
  <si>
    <t>01.09.02 - 31.08.03</t>
  </si>
  <si>
    <t>01.09.03 - 31.08.04</t>
  </si>
  <si>
    <t>01.09.04 - 31.08.05</t>
  </si>
  <si>
    <t>01.09.05 - 31.08.06</t>
  </si>
  <si>
    <t>01.09.06 - 31.08.07</t>
  </si>
  <si>
    <t>01.09.07 - 31.08.08</t>
  </si>
  <si>
    <t>01.09.08 - 31.08.09</t>
  </si>
  <si>
    <t>01.09.09 - 31.08.10</t>
  </si>
  <si>
    <t>01.09.10 - 31.08.11</t>
  </si>
  <si>
    <t>01.09.11 - 31.08.12</t>
  </si>
  <si>
    <t>Arrears</t>
  </si>
  <si>
    <t>S/A Paid</t>
  </si>
  <si>
    <t>S/A Due</t>
  </si>
  <si>
    <t>01.09.12 - 31.08.13</t>
  </si>
  <si>
    <t>01.09.13 - 31.08.14</t>
  </si>
  <si>
    <t>01.09.14 - 31.08.15</t>
  </si>
  <si>
    <t xml:space="preserve">Emp No </t>
  </si>
  <si>
    <t>Emp No</t>
  </si>
  <si>
    <t xml:space="preserve">Estimate of Lump Sum &amp; Pension </t>
  </si>
  <si>
    <t>SPC Rates</t>
  </si>
  <si>
    <t>01.09.15 - 31.08.16</t>
  </si>
  <si>
    <t>Limited Membership Arrears</t>
  </si>
  <si>
    <t>Name:</t>
  </si>
  <si>
    <t>Emp No.</t>
  </si>
  <si>
    <t>Actual Reckonable Salary</t>
  </si>
  <si>
    <t>Gross Pension</t>
  </si>
  <si>
    <t>Annual Rate of SPC</t>
  </si>
  <si>
    <t>Weekly Rate of SPC</t>
  </si>
  <si>
    <t>No Wks worked in year</t>
  </si>
  <si>
    <t>Weekly SPC x No of Wks</t>
  </si>
  <si>
    <t>Net Pension</t>
  </si>
  <si>
    <t>Net Pension Due</t>
  </si>
  <si>
    <t>Total Pension Due</t>
  </si>
  <si>
    <t>01.09.96 - 31.08.97</t>
  </si>
  <si>
    <t>01.09.97 - 31.08.98</t>
  </si>
  <si>
    <t>01.09.98 - 31.08.99</t>
  </si>
  <si>
    <t>01.09.99 - 31.08.00</t>
  </si>
  <si>
    <t>01.09.00 - 31.08.01</t>
  </si>
  <si>
    <t>01.09.06 - 31.12.06</t>
  </si>
  <si>
    <t>Pre 96</t>
  </si>
  <si>
    <t>Less S/ann paid</t>
  </si>
  <si>
    <t>Arrears due</t>
  </si>
  <si>
    <t>2000/01</t>
  </si>
  <si>
    <t>Non Reckonable</t>
  </si>
  <si>
    <t>01.09.16 - 31.08.17</t>
  </si>
  <si>
    <t>To ensure accuracy, go to office button, select excel options, select advanced, scroll down to when calculating this workbook and tick set precision as displayed</t>
  </si>
  <si>
    <t>Ensure formula is copied correctly</t>
  </si>
  <si>
    <t>Ensure you amend the COAP rates in the spreadsheet when there is any changes</t>
  </si>
  <si>
    <t xml:space="preserve">A manual re-check of all calculations should be done </t>
  </si>
  <si>
    <t>Do not delete the top and end of calculation line, otherwise formula will be lost, advisable to change years or hide columns and set the service to 0.00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</si>
</sst>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quot;€&quot;#,##0.00"/>
    <numFmt numFmtId="166" formatCode="&quot;€&quot;#,##0.0000;[Red]\-&quot;€&quot;#,##0.0000"/>
    <numFmt numFmtId="167" formatCode="&quot;Yes&quot;;&quot;Yes&quot;;&quot;No&quot;"/>
    <numFmt numFmtId="168" formatCode="&quot;True&quot;;&quot;True&quot;;&quot;False&quot;"/>
    <numFmt numFmtId="169" formatCode="&quot;On&quot;;&quot;On&quot;;&quot;Off&quot;"/>
    <numFmt numFmtId="170" formatCode="[$€-2]\ #,##0.00_);[Red]\([$€-2]\ #,##0.00\)"/>
    <numFmt numFmtId="171" formatCode="dd/mm/yyyy;@"/>
    <numFmt numFmtId="172" formatCode="#,##0.0000"/>
    <numFmt numFmtId="173" formatCode="&quot;€&quot;#,##0.0000"/>
  </numFmts>
  <fonts count="62">
    <font>
      <sz val="11"/>
      <color theme="1"/>
      <name val="Calibri"/>
      <family val="2"/>
    </font>
    <font>
      <sz val="11"/>
      <color indexed="8"/>
      <name val="Calibri"/>
      <family val="2"/>
    </font>
    <font>
      <sz val="8"/>
      <name val="Tahoma"/>
      <family val="2"/>
    </font>
    <font>
      <sz val="11"/>
      <color indexed="60"/>
      <name val="Calibri"/>
      <family val="2"/>
    </font>
    <font>
      <b/>
      <sz val="11"/>
      <color indexed="8"/>
      <name val="Calibri"/>
      <family val="2"/>
    </font>
    <font>
      <b/>
      <sz val="26"/>
      <color indexed="8"/>
      <name val="Calibri"/>
      <family val="2"/>
    </font>
    <font>
      <sz val="22"/>
      <color indexed="8"/>
      <name val="Calibri"/>
      <family val="2"/>
    </font>
    <font>
      <b/>
      <sz val="18"/>
      <color indexed="8"/>
      <name val="Calibri"/>
      <family val="2"/>
    </font>
    <font>
      <b/>
      <sz val="11"/>
      <color indexed="10"/>
      <name val="Calibri"/>
      <family val="2"/>
    </font>
    <font>
      <b/>
      <u val="single"/>
      <sz val="11"/>
      <color indexed="8"/>
      <name val="Calibri"/>
      <family val="2"/>
    </font>
    <font>
      <b/>
      <sz val="11"/>
      <name val="Calibri"/>
      <family val="2"/>
    </font>
    <font>
      <u val="single"/>
      <sz val="11"/>
      <color indexed="8"/>
      <name val="Calibri"/>
      <family val="2"/>
    </font>
    <font>
      <b/>
      <sz val="22"/>
      <color indexed="8"/>
      <name val="Calibri"/>
      <family val="2"/>
    </font>
    <font>
      <sz val="8"/>
      <name val="Calibri"/>
      <family val="2"/>
    </font>
    <font>
      <u val="single"/>
      <sz val="11"/>
      <color indexed="12"/>
      <name val="Calibri"/>
      <family val="2"/>
    </font>
    <font>
      <u val="single"/>
      <sz val="11"/>
      <color indexed="36"/>
      <name val="Calibri"/>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6"/>
      <color indexed="8"/>
      <name val="Calibri"/>
      <family val="2"/>
    </font>
    <font>
      <sz val="10"/>
      <color indexed="8"/>
      <name val="Calibri"/>
      <family val="2"/>
    </font>
    <font>
      <b/>
      <sz val="12"/>
      <color indexed="8"/>
      <name val="Calibri"/>
      <family val="2"/>
    </font>
    <font>
      <b/>
      <sz val="10"/>
      <name val="Calibri"/>
      <family val="2"/>
    </font>
    <font>
      <b/>
      <sz val="10"/>
      <color indexed="8"/>
      <name val="Calibri"/>
      <family val="2"/>
    </font>
    <font>
      <b/>
      <sz val="12"/>
      <name val="Calibri"/>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6"/>
      <color theme="1"/>
      <name val="Calibri"/>
      <family val="2"/>
    </font>
    <font>
      <sz val="10"/>
      <color theme="1"/>
      <name val="Calibri"/>
      <family val="2"/>
    </font>
    <font>
      <b/>
      <sz val="12"/>
      <color theme="1"/>
      <name val="Calibri"/>
      <family val="2"/>
    </font>
    <font>
      <b/>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1">
    <xf numFmtId="0" fontId="0" fillId="0" borderId="0" xfId="0" applyFont="1" applyAlignment="1">
      <alignment/>
    </xf>
    <xf numFmtId="164" fontId="0" fillId="0" borderId="0" xfId="0" applyNumberFormat="1" applyAlignment="1">
      <alignment/>
    </xf>
    <xf numFmtId="0" fontId="4" fillId="0" borderId="0" xfId="0" applyFont="1" applyAlignment="1">
      <alignment/>
    </xf>
    <xf numFmtId="164" fontId="4" fillId="0" borderId="0" xfId="0" applyNumberFormat="1" applyFont="1" applyAlignment="1">
      <alignment/>
    </xf>
    <xf numFmtId="8" fontId="0" fillId="0" borderId="0" xfId="0" applyNumberFormat="1" applyAlignment="1">
      <alignment/>
    </xf>
    <xf numFmtId="2" fontId="4" fillId="0" borderId="0" xfId="0" applyNumberFormat="1" applyFont="1" applyAlignment="1">
      <alignment/>
    </xf>
    <xf numFmtId="0" fontId="5" fillId="0" borderId="0" xfId="0" applyFont="1" applyAlignment="1">
      <alignment/>
    </xf>
    <xf numFmtId="0" fontId="6" fillId="0" borderId="0" xfId="0" applyFont="1" applyAlignment="1">
      <alignment/>
    </xf>
    <xf numFmtId="8" fontId="4" fillId="0" borderId="0" xfId="0" applyNumberFormat="1" applyFont="1" applyAlignment="1">
      <alignment/>
    </xf>
    <xf numFmtId="0" fontId="0" fillId="0" borderId="0" xfId="0" applyFont="1" applyAlignment="1">
      <alignment/>
    </xf>
    <xf numFmtId="0" fontId="4" fillId="0" borderId="10" xfId="0" applyFont="1" applyBorder="1" applyAlignment="1">
      <alignment/>
    </xf>
    <xf numFmtId="0" fontId="0" fillId="0" borderId="10" xfId="0" applyBorder="1" applyAlignment="1">
      <alignment/>
    </xf>
    <xf numFmtId="0" fontId="7" fillId="0" borderId="0" xfId="0" applyFont="1" applyAlignment="1">
      <alignment/>
    </xf>
    <xf numFmtId="165" fontId="8" fillId="0" borderId="0" xfId="0" applyNumberFormat="1" applyFont="1" applyAlignment="1">
      <alignment/>
    </xf>
    <xf numFmtId="49" fontId="0" fillId="0" borderId="0" xfId="0" applyNumberFormat="1" applyAlignment="1">
      <alignment horizontal="right"/>
    </xf>
    <xf numFmtId="0" fontId="0" fillId="0" borderId="11" xfId="0" applyBorder="1" applyAlignment="1">
      <alignment/>
    </xf>
    <xf numFmtId="0" fontId="4" fillId="0" borderId="11" xfId="0" applyFont="1" applyBorder="1" applyAlignment="1">
      <alignment/>
    </xf>
    <xf numFmtId="0" fontId="0" fillId="0" borderId="11" xfId="0" applyFont="1" applyBorder="1" applyAlignment="1">
      <alignment/>
    </xf>
    <xf numFmtId="164" fontId="4" fillId="0" borderId="11" xfId="0" applyNumberFormat="1" applyFont="1" applyBorder="1" applyAlignment="1">
      <alignment/>
    </xf>
    <xf numFmtId="0" fontId="9" fillId="0" borderId="11" xfId="0" applyFont="1" applyBorder="1" applyAlignment="1">
      <alignment/>
    </xf>
    <xf numFmtId="8" fontId="0" fillId="0" borderId="11" xfId="0" applyNumberFormat="1" applyBorder="1" applyAlignment="1">
      <alignment/>
    </xf>
    <xf numFmtId="2" fontId="0" fillId="0" borderId="11" xfId="0" applyNumberFormat="1" applyBorder="1" applyAlignment="1">
      <alignment/>
    </xf>
    <xf numFmtId="165" fontId="0" fillId="0" borderId="11" xfId="0" applyNumberFormat="1" applyFont="1" applyBorder="1" applyAlignment="1">
      <alignment/>
    </xf>
    <xf numFmtId="165" fontId="0" fillId="0" borderId="11" xfId="0" applyNumberFormat="1" applyBorder="1" applyAlignment="1">
      <alignment horizontal="right"/>
    </xf>
    <xf numFmtId="165" fontId="8" fillId="0" borderId="11" xfId="0" applyNumberFormat="1" applyFont="1" applyBorder="1" applyAlignment="1">
      <alignment/>
    </xf>
    <xf numFmtId="165" fontId="4" fillId="0" borderId="11" xfId="0" applyNumberFormat="1" applyFont="1" applyBorder="1" applyAlignment="1">
      <alignment/>
    </xf>
    <xf numFmtId="8" fontId="0" fillId="0" borderId="11" xfId="0" applyNumberFormat="1" applyFont="1" applyBorder="1" applyAlignment="1">
      <alignment/>
    </xf>
    <xf numFmtId="8" fontId="4" fillId="0" borderId="11" xfId="0" applyNumberFormat="1" applyFont="1" applyBorder="1" applyAlignment="1">
      <alignment/>
    </xf>
    <xf numFmtId="0" fontId="0" fillId="0" borderId="0" xfId="0" applyBorder="1" applyAlignment="1">
      <alignment/>
    </xf>
    <xf numFmtId="0" fontId="4" fillId="0" borderId="11" xfId="0" applyFont="1" applyBorder="1" applyAlignment="1">
      <alignment wrapText="1"/>
    </xf>
    <xf numFmtId="164" fontId="4" fillId="0" borderId="11" xfId="0" applyNumberFormat="1" applyFont="1" applyBorder="1" applyAlignment="1">
      <alignment wrapText="1"/>
    </xf>
    <xf numFmtId="0" fontId="9" fillId="0" borderId="11" xfId="0" applyFont="1" applyBorder="1" applyAlignment="1">
      <alignment wrapText="1"/>
    </xf>
    <xf numFmtId="0" fontId="4" fillId="0" borderId="0" xfId="0" applyFont="1" applyAlignment="1">
      <alignment wrapText="1"/>
    </xf>
    <xf numFmtId="0" fontId="0" fillId="0" borderId="11" xfId="0" applyBorder="1" applyAlignment="1">
      <alignment wrapText="1"/>
    </xf>
    <xf numFmtId="0" fontId="0" fillId="0" borderId="0" xfId="0" applyAlignment="1">
      <alignment wrapText="1"/>
    </xf>
    <xf numFmtId="0" fontId="0" fillId="33" borderId="0" xfId="0" applyFill="1" applyAlignment="1">
      <alignment wrapText="1"/>
    </xf>
    <xf numFmtId="0" fontId="11" fillId="0" borderId="11" xfId="0" applyFont="1" applyBorder="1" applyAlignment="1">
      <alignment wrapText="1"/>
    </xf>
    <xf numFmtId="0" fontId="3" fillId="0" borderId="0" xfId="0" applyFont="1" applyAlignment="1">
      <alignment/>
    </xf>
    <xf numFmtId="0" fontId="54" fillId="0" borderId="0" xfId="0" applyFont="1" applyAlignment="1">
      <alignment/>
    </xf>
    <xf numFmtId="0" fontId="0" fillId="0" borderId="0" xfId="0" applyAlignment="1">
      <alignment horizontal="left"/>
    </xf>
    <xf numFmtId="0" fontId="4" fillId="0" borderId="0" xfId="0" applyFont="1" applyAlignment="1">
      <alignment/>
    </xf>
    <xf numFmtId="0" fontId="1" fillId="0" borderId="0" xfId="0" applyFont="1" applyAlignment="1">
      <alignment/>
    </xf>
    <xf numFmtId="0" fontId="0" fillId="0" borderId="11" xfId="0" applyFont="1" applyBorder="1" applyAlignment="1">
      <alignment/>
    </xf>
    <xf numFmtId="8" fontId="54" fillId="0" borderId="11" xfId="0" applyNumberFormat="1" applyFont="1" applyBorder="1" applyAlignment="1">
      <alignment/>
    </xf>
    <xf numFmtId="165" fontId="0" fillId="34" borderId="11" xfId="0" applyNumberFormat="1" applyFont="1" applyFill="1" applyBorder="1" applyAlignment="1">
      <alignment horizontal="right"/>
    </xf>
    <xf numFmtId="165" fontId="4" fillId="34" borderId="11" xfId="0" applyNumberFormat="1" applyFont="1" applyFill="1" applyBorder="1" applyAlignment="1">
      <alignment horizontal="left"/>
    </xf>
    <xf numFmtId="8" fontId="0" fillId="34" borderId="11" xfId="0" applyNumberFormat="1" applyFont="1" applyFill="1" applyBorder="1" applyAlignment="1">
      <alignment wrapText="1"/>
    </xf>
    <xf numFmtId="8" fontId="4" fillId="35" borderId="0" xfId="0" applyNumberFormat="1" applyFont="1" applyFill="1" applyAlignment="1">
      <alignment/>
    </xf>
    <xf numFmtId="8" fontId="4" fillId="35" borderId="11" xfId="0" applyNumberFormat="1" applyFont="1" applyFill="1" applyBorder="1" applyAlignment="1">
      <alignment/>
    </xf>
    <xf numFmtId="165" fontId="0" fillId="34" borderId="11" xfId="0" applyNumberFormat="1" applyFont="1" applyFill="1" applyBorder="1" applyAlignment="1">
      <alignment/>
    </xf>
    <xf numFmtId="165" fontId="10" fillId="35" borderId="11" xfId="0" applyNumberFormat="1" applyFont="1" applyFill="1" applyBorder="1" applyAlignment="1">
      <alignment/>
    </xf>
    <xf numFmtId="44" fontId="0" fillId="0" borderId="0" xfId="44" applyFont="1" applyAlignment="1">
      <alignment horizontal="right"/>
    </xf>
    <xf numFmtId="171" fontId="54" fillId="0" borderId="11" xfId="0" applyNumberFormat="1" applyFont="1" applyBorder="1" applyAlignment="1">
      <alignment/>
    </xf>
    <xf numFmtId="2" fontId="56" fillId="0" borderId="11" xfId="0" applyNumberFormat="1" applyFont="1" applyBorder="1" applyAlignment="1">
      <alignment/>
    </xf>
    <xf numFmtId="165" fontId="54" fillId="35" borderId="11" xfId="0" applyNumberFormat="1" applyFont="1" applyFill="1" applyBorder="1" applyAlignment="1">
      <alignment horizontal="right"/>
    </xf>
    <xf numFmtId="2" fontId="54" fillId="35" borderId="11" xfId="0" applyNumberFormat="1" applyFont="1" applyFill="1" applyBorder="1" applyAlignment="1">
      <alignment horizontal="right"/>
    </xf>
    <xf numFmtId="165" fontId="0" fillId="34" borderId="0" xfId="0" applyNumberFormat="1" applyFill="1" applyAlignment="1">
      <alignment horizontal="right" wrapText="1"/>
    </xf>
    <xf numFmtId="0" fontId="0" fillId="34" borderId="0" xfId="0" applyFill="1" applyAlignment="1">
      <alignment wrapText="1"/>
    </xf>
    <xf numFmtId="164" fontId="0" fillId="34" borderId="0" xfId="0" applyNumberFormat="1" applyFill="1" applyAlignment="1">
      <alignment wrapText="1"/>
    </xf>
    <xf numFmtId="49" fontId="0" fillId="34" borderId="0" xfId="0" applyNumberFormat="1" applyFill="1" applyAlignment="1">
      <alignment horizontal="right"/>
    </xf>
    <xf numFmtId="0" fontId="0" fillId="34" borderId="0" xfId="0" applyFill="1" applyAlignment="1">
      <alignment/>
    </xf>
    <xf numFmtId="164" fontId="0" fillId="34" borderId="0" xfId="0" applyNumberFormat="1" applyFill="1" applyAlignment="1">
      <alignment/>
    </xf>
    <xf numFmtId="49" fontId="4" fillId="34" borderId="11" xfId="0" applyNumberFormat="1" applyFont="1" applyFill="1" applyBorder="1" applyAlignment="1">
      <alignment horizontal="right" wrapText="1"/>
    </xf>
    <xf numFmtId="0" fontId="4" fillId="34" borderId="11" xfId="0" applyFont="1" applyFill="1" applyBorder="1" applyAlignment="1">
      <alignment wrapText="1"/>
    </xf>
    <xf numFmtId="164" fontId="4" fillId="34" borderId="11" xfId="0" applyNumberFormat="1" applyFont="1" applyFill="1" applyBorder="1" applyAlignment="1">
      <alignment wrapText="1"/>
    </xf>
    <xf numFmtId="164" fontId="4" fillId="34" borderId="12" xfId="0" applyNumberFormat="1" applyFont="1" applyFill="1" applyBorder="1" applyAlignment="1">
      <alignment wrapText="1"/>
    </xf>
    <xf numFmtId="49" fontId="0" fillId="34" borderId="11" xfId="0" applyNumberFormat="1" applyFill="1" applyBorder="1" applyAlignment="1">
      <alignment horizontal="right" wrapText="1"/>
    </xf>
    <xf numFmtId="164" fontId="0" fillId="34" borderId="11" xfId="0" applyNumberFormat="1" applyFill="1" applyBorder="1" applyAlignment="1">
      <alignment/>
    </xf>
    <xf numFmtId="2" fontId="0" fillId="34" borderId="11" xfId="0" applyNumberFormat="1" applyFill="1" applyBorder="1" applyAlignment="1">
      <alignment/>
    </xf>
    <xf numFmtId="49" fontId="0" fillId="34" borderId="11" xfId="0" applyNumberFormat="1" applyFill="1" applyBorder="1" applyAlignment="1">
      <alignment horizontal="right"/>
    </xf>
    <xf numFmtId="0" fontId="0" fillId="34" borderId="11" xfId="0" applyFill="1" applyBorder="1" applyAlignment="1">
      <alignment/>
    </xf>
    <xf numFmtId="16" fontId="0" fillId="34" borderId="11" xfId="0" applyNumberFormat="1" applyFill="1" applyBorder="1" applyAlignment="1">
      <alignment/>
    </xf>
    <xf numFmtId="16" fontId="4" fillId="34" borderId="11" xfId="0" applyNumberFormat="1" applyFont="1" applyFill="1" applyBorder="1" applyAlignment="1">
      <alignment/>
    </xf>
    <xf numFmtId="49" fontId="0" fillId="34" borderId="11" xfId="0" applyNumberFormat="1" applyFill="1" applyBorder="1" applyAlignment="1" applyProtection="1">
      <alignment horizontal="right"/>
      <protection locked="0"/>
    </xf>
    <xf numFmtId="49" fontId="4" fillId="34" borderId="11" xfId="0" applyNumberFormat="1" applyFont="1" applyFill="1" applyBorder="1" applyAlignment="1" applyProtection="1">
      <alignment horizontal="right"/>
      <protection locked="0"/>
    </xf>
    <xf numFmtId="0" fontId="4" fillId="34" borderId="11" xfId="0" applyFont="1" applyFill="1" applyBorder="1" applyAlignment="1">
      <alignment/>
    </xf>
    <xf numFmtId="164" fontId="4" fillId="34" borderId="11" xfId="0" applyNumberFormat="1" applyFont="1" applyFill="1" applyBorder="1" applyAlignment="1">
      <alignment/>
    </xf>
    <xf numFmtId="2" fontId="4" fillId="34" borderId="11" xfId="0" applyNumberFormat="1" applyFont="1" applyFill="1" applyBorder="1" applyAlignment="1">
      <alignment/>
    </xf>
    <xf numFmtId="49" fontId="4" fillId="34" borderId="0" xfId="0" applyNumberFormat="1" applyFont="1" applyFill="1" applyAlignment="1" applyProtection="1">
      <alignment horizontal="right"/>
      <protection locked="0"/>
    </xf>
    <xf numFmtId="0" fontId="4" fillId="34" borderId="0" xfId="0" applyFont="1" applyFill="1" applyAlignment="1">
      <alignment/>
    </xf>
    <xf numFmtId="164" fontId="4" fillId="34" borderId="0" xfId="0" applyNumberFormat="1" applyFont="1" applyFill="1" applyAlignment="1">
      <alignment/>
    </xf>
    <xf numFmtId="49" fontId="4" fillId="34" borderId="10" xfId="0" applyNumberFormat="1" applyFont="1" applyFill="1" applyBorder="1" applyAlignment="1" applyProtection="1">
      <alignment horizontal="right"/>
      <protection locked="0"/>
    </xf>
    <xf numFmtId="0" fontId="4" fillId="34" borderId="10" xfId="0" applyFont="1" applyFill="1" applyBorder="1" applyAlignment="1">
      <alignment/>
    </xf>
    <xf numFmtId="164" fontId="4" fillId="34" borderId="10" xfId="0" applyNumberFormat="1" applyFont="1" applyFill="1" applyBorder="1" applyAlignment="1">
      <alignment/>
    </xf>
    <xf numFmtId="49" fontId="0" fillId="34" borderId="0" xfId="0" applyNumberFormat="1" applyFill="1" applyAlignment="1" applyProtection="1">
      <alignment horizontal="right"/>
      <protection locked="0"/>
    </xf>
    <xf numFmtId="0" fontId="4" fillId="34" borderId="11" xfId="0" applyFont="1" applyFill="1" applyBorder="1" applyAlignment="1" applyProtection="1">
      <alignment wrapText="1"/>
      <protection locked="0"/>
    </xf>
    <xf numFmtId="8" fontId="0" fillId="34" borderId="11" xfId="0" applyNumberFormat="1" applyFill="1" applyBorder="1" applyAlignment="1" applyProtection="1">
      <alignment/>
      <protection locked="0"/>
    </xf>
    <xf numFmtId="8" fontId="0" fillId="34" borderId="11" xfId="0" applyNumberFormat="1" applyFill="1" applyBorder="1" applyAlignment="1">
      <alignment/>
    </xf>
    <xf numFmtId="164" fontId="0" fillId="34" borderId="11" xfId="0" applyNumberFormat="1" applyFont="1" applyFill="1" applyBorder="1" applyAlignment="1">
      <alignment wrapText="1"/>
    </xf>
    <xf numFmtId="0" fontId="0" fillId="34" borderId="11" xfId="0" applyFont="1" applyFill="1" applyBorder="1" applyAlignment="1">
      <alignment wrapText="1"/>
    </xf>
    <xf numFmtId="0" fontId="0" fillId="34" borderId="11" xfId="0" applyNumberFormat="1" applyFill="1" applyBorder="1" applyAlignment="1">
      <alignment/>
    </xf>
    <xf numFmtId="165" fontId="0" fillId="34" borderId="11" xfId="0" applyNumberFormat="1" applyFill="1" applyBorder="1" applyAlignment="1">
      <alignment/>
    </xf>
    <xf numFmtId="164" fontId="0" fillId="34" borderId="11" xfId="0" applyNumberFormat="1" applyFont="1" applyFill="1" applyBorder="1" applyAlignment="1">
      <alignment/>
    </xf>
    <xf numFmtId="49" fontId="0" fillId="34" borderId="11" xfId="0" applyNumberFormat="1" applyFont="1" applyFill="1" applyBorder="1" applyAlignment="1" applyProtection="1">
      <alignment horizontal="right"/>
      <protection locked="0"/>
    </xf>
    <xf numFmtId="0" fontId="0" fillId="34" borderId="11" xfId="0" applyFont="1" applyFill="1" applyBorder="1" applyAlignment="1">
      <alignment/>
    </xf>
    <xf numFmtId="49" fontId="4" fillId="34" borderId="11" xfId="0" applyNumberFormat="1" applyFont="1" applyFill="1" applyBorder="1" applyAlignment="1" applyProtection="1">
      <alignment horizontal="right" wrapText="1"/>
      <protection locked="0"/>
    </xf>
    <xf numFmtId="49" fontId="0" fillId="34" borderId="10" xfId="0" applyNumberFormat="1" applyFill="1" applyBorder="1" applyAlignment="1">
      <alignment horizontal="right"/>
    </xf>
    <xf numFmtId="0" fontId="0" fillId="34" borderId="10" xfId="0" applyFill="1" applyBorder="1" applyAlignment="1">
      <alignment/>
    </xf>
    <xf numFmtId="164" fontId="0" fillId="34" borderId="10" xfId="0" applyNumberFormat="1" applyFill="1" applyBorder="1" applyAlignment="1">
      <alignment/>
    </xf>
    <xf numFmtId="165" fontId="4" fillId="34" borderId="11" xfId="0" applyNumberFormat="1" applyFont="1" applyFill="1" applyBorder="1" applyAlignment="1">
      <alignment horizontal="right"/>
    </xf>
    <xf numFmtId="0" fontId="4" fillId="34" borderId="0" xfId="0" applyFont="1" applyFill="1" applyAlignment="1">
      <alignment wrapText="1"/>
    </xf>
    <xf numFmtId="0" fontId="0" fillId="34" borderId="11" xfId="0" applyFill="1" applyBorder="1" applyAlignment="1">
      <alignment wrapText="1"/>
    </xf>
    <xf numFmtId="164" fontId="0" fillId="34" borderId="11" xfId="0" applyNumberFormat="1" applyFill="1" applyBorder="1" applyAlignment="1">
      <alignment wrapText="1"/>
    </xf>
    <xf numFmtId="165" fontId="0" fillId="34" borderId="11" xfId="0" applyNumberFormat="1" applyFont="1" applyFill="1" applyBorder="1" applyAlignment="1">
      <alignment horizontal="right"/>
    </xf>
    <xf numFmtId="0" fontId="0" fillId="34" borderId="11" xfId="0" applyFont="1" applyFill="1" applyBorder="1" applyAlignment="1">
      <alignment/>
    </xf>
    <xf numFmtId="164" fontId="0" fillId="34" borderId="11" xfId="0" applyNumberFormat="1" applyFont="1" applyFill="1" applyBorder="1" applyAlignment="1">
      <alignment/>
    </xf>
    <xf numFmtId="165" fontId="0" fillId="34" borderId="0" xfId="0" applyNumberFormat="1" applyFill="1" applyBorder="1" applyAlignment="1">
      <alignment horizontal="right"/>
    </xf>
    <xf numFmtId="0" fontId="0" fillId="34" borderId="0" xfId="0" applyFill="1" applyBorder="1" applyAlignment="1">
      <alignment/>
    </xf>
    <xf numFmtId="164" fontId="0" fillId="34" borderId="0" xfId="0" applyNumberFormat="1" applyFill="1" applyBorder="1" applyAlignment="1">
      <alignment/>
    </xf>
    <xf numFmtId="0" fontId="4" fillId="34" borderId="0" xfId="0" applyFont="1" applyFill="1" applyBorder="1" applyAlignment="1">
      <alignment/>
    </xf>
    <xf numFmtId="164" fontId="4" fillId="34" borderId="0" xfId="0" applyNumberFormat="1" applyFont="1" applyFill="1" applyBorder="1" applyAlignment="1">
      <alignment/>
    </xf>
    <xf numFmtId="165" fontId="4" fillId="35" borderId="11" xfId="0" applyNumberFormat="1" applyFont="1" applyFill="1" applyBorder="1" applyAlignment="1">
      <alignment wrapText="1"/>
    </xf>
    <xf numFmtId="0" fontId="4" fillId="35" borderId="0" xfId="0" applyFont="1" applyFill="1" applyBorder="1" applyAlignment="1">
      <alignment/>
    </xf>
    <xf numFmtId="165" fontId="4" fillId="35" borderId="0" xfId="0" applyNumberFormat="1" applyFont="1" applyFill="1" applyBorder="1" applyAlignment="1">
      <alignment horizontal="right"/>
    </xf>
    <xf numFmtId="0" fontId="4" fillId="35" borderId="11" xfId="0" applyFont="1" applyFill="1" applyBorder="1" applyAlignment="1">
      <alignment/>
    </xf>
    <xf numFmtId="0" fontId="4" fillId="35" borderId="11" xfId="0" applyFont="1" applyFill="1" applyBorder="1" applyAlignment="1">
      <alignment wrapText="1"/>
    </xf>
    <xf numFmtId="0" fontId="1" fillId="0" borderId="0" xfId="0" applyFont="1" applyAlignment="1" quotePrefix="1">
      <alignment/>
    </xf>
    <xf numFmtId="0" fontId="10" fillId="0" borderId="0" xfId="0" applyFont="1" applyAlignment="1">
      <alignment/>
    </xf>
    <xf numFmtId="49" fontId="4" fillId="34" borderId="0" xfId="0" applyNumberFormat="1" applyFont="1" applyFill="1" applyBorder="1" applyAlignment="1" applyProtection="1">
      <alignment horizontal="right"/>
      <protection locked="0"/>
    </xf>
    <xf numFmtId="165" fontId="10" fillId="34" borderId="0" xfId="0" applyNumberFormat="1" applyFont="1" applyFill="1" applyBorder="1" applyAlignment="1">
      <alignment/>
    </xf>
    <xf numFmtId="0" fontId="0" fillId="0" borderId="0" xfId="0" applyFont="1" applyBorder="1" applyAlignment="1">
      <alignment/>
    </xf>
    <xf numFmtId="165" fontId="4" fillId="0" borderId="0" xfId="0" applyNumberFormat="1" applyFont="1" applyBorder="1" applyAlignment="1">
      <alignment/>
    </xf>
    <xf numFmtId="49" fontId="0" fillId="34" borderId="12" xfId="0" applyNumberFormat="1" applyFill="1" applyBorder="1" applyAlignment="1">
      <alignment horizontal="center"/>
    </xf>
    <xf numFmtId="49" fontId="0" fillId="34" borderId="13" xfId="0" applyNumberFormat="1" applyFill="1" applyBorder="1" applyAlignment="1">
      <alignment horizontal="center"/>
    </xf>
    <xf numFmtId="0" fontId="12" fillId="0" borderId="0" xfId="0" applyFont="1" applyAlignment="1">
      <alignment horizontal="center"/>
    </xf>
    <xf numFmtId="171" fontId="57" fillId="0" borderId="12" xfId="0" applyNumberFormat="1" applyFont="1" applyBorder="1" applyAlignment="1">
      <alignment horizontal="center" vertical="top"/>
    </xf>
    <xf numFmtId="171" fontId="57" fillId="0" borderId="14" xfId="0" applyNumberFormat="1" applyFont="1" applyBorder="1" applyAlignment="1">
      <alignment horizontal="center" vertical="top"/>
    </xf>
    <xf numFmtId="171" fontId="57" fillId="0" borderId="13" xfId="0" applyNumberFormat="1" applyFont="1" applyBorder="1" applyAlignment="1">
      <alignment horizontal="center" vertical="top"/>
    </xf>
    <xf numFmtId="171" fontId="58" fillId="0" borderId="11" xfId="0" applyNumberFormat="1" applyFont="1" applyBorder="1" applyAlignment="1">
      <alignment horizontal="center"/>
    </xf>
    <xf numFmtId="2" fontId="59" fillId="0" borderId="11" xfId="0" applyNumberFormat="1" applyFont="1" applyBorder="1" applyAlignment="1">
      <alignment/>
    </xf>
    <xf numFmtId="165" fontId="58" fillId="0" borderId="11" xfId="0" applyNumberFormat="1" applyFont="1" applyBorder="1" applyAlignment="1">
      <alignment/>
    </xf>
    <xf numFmtId="0" fontId="58" fillId="0" borderId="11" xfId="0" applyFont="1" applyBorder="1" applyAlignment="1">
      <alignment horizontal="right"/>
    </xf>
    <xf numFmtId="0" fontId="58" fillId="0" borderId="11" xfId="0" applyFont="1" applyBorder="1" applyAlignment="1">
      <alignment/>
    </xf>
    <xf numFmtId="0" fontId="58" fillId="0" borderId="11" xfId="0" applyNumberFormat="1" applyFont="1" applyBorder="1" applyAlignment="1">
      <alignment/>
    </xf>
    <xf numFmtId="2" fontId="58" fillId="0" borderId="11" xfId="0" applyNumberFormat="1" applyFont="1" applyBorder="1" applyAlignment="1">
      <alignment/>
    </xf>
    <xf numFmtId="164" fontId="58" fillId="0" borderId="11" xfId="0" applyNumberFormat="1" applyFont="1" applyBorder="1" applyAlignment="1">
      <alignment/>
    </xf>
    <xf numFmtId="171" fontId="36" fillId="0" borderId="11" xfId="0" applyNumberFormat="1" applyFont="1" applyBorder="1" applyAlignment="1">
      <alignment horizontal="center"/>
    </xf>
    <xf numFmtId="2" fontId="36" fillId="0" borderId="11" xfId="0" applyNumberFormat="1" applyFont="1" applyBorder="1" applyAlignment="1">
      <alignment horizontal="right"/>
    </xf>
    <xf numFmtId="165" fontId="36" fillId="0" borderId="11" xfId="0" applyNumberFormat="1" applyFont="1" applyBorder="1" applyAlignment="1">
      <alignment horizontal="right"/>
    </xf>
    <xf numFmtId="0" fontId="36" fillId="0" borderId="11" xfId="0" applyFont="1" applyBorder="1" applyAlignment="1">
      <alignment horizontal="right"/>
    </xf>
    <xf numFmtId="10" fontId="36" fillId="0" borderId="11" xfId="0" applyNumberFormat="1" applyFont="1" applyBorder="1" applyAlignment="1">
      <alignment horizontal="right"/>
    </xf>
    <xf numFmtId="0" fontId="36" fillId="0" borderId="11" xfId="0" applyFont="1" applyBorder="1" applyAlignment="1">
      <alignment/>
    </xf>
    <xf numFmtId="164" fontId="36" fillId="0" borderId="11" xfId="0" applyNumberFormat="1" applyFont="1" applyBorder="1" applyAlignment="1">
      <alignment horizontal="right"/>
    </xf>
    <xf numFmtId="165" fontId="36" fillId="0" borderId="11" xfId="0" applyNumberFormat="1" applyFont="1" applyBorder="1" applyAlignment="1">
      <alignment/>
    </xf>
    <xf numFmtId="171" fontId="58" fillId="0" borderId="11" xfId="0" applyNumberFormat="1" applyFont="1" applyBorder="1" applyAlignment="1">
      <alignment/>
    </xf>
    <xf numFmtId="165" fontId="58" fillId="0" borderId="11" xfId="0" applyNumberFormat="1" applyFont="1" applyBorder="1" applyAlignment="1">
      <alignment horizontal="right"/>
    </xf>
    <xf numFmtId="172" fontId="58" fillId="0" borderId="11" xfId="0" applyNumberFormat="1" applyFont="1" applyBorder="1" applyAlignment="1">
      <alignment/>
    </xf>
    <xf numFmtId="164" fontId="60" fillId="0" borderId="11" xfId="0" applyNumberFormat="1" applyFont="1" applyBorder="1" applyAlignment="1">
      <alignment/>
    </xf>
    <xf numFmtId="165" fontId="60" fillId="35" borderId="11" xfId="0" applyNumberFormat="1" applyFont="1" applyFill="1" applyBorder="1" applyAlignment="1">
      <alignment/>
    </xf>
    <xf numFmtId="171" fontId="58" fillId="0" borderId="11" xfId="0" applyNumberFormat="1" applyFont="1" applyFill="1" applyBorder="1" applyAlignment="1">
      <alignment/>
    </xf>
    <xf numFmtId="165" fontId="0" fillId="0" borderId="11" xfId="0" applyNumberFormat="1" applyFont="1" applyBorder="1" applyAlignment="1">
      <alignment horizontal="right"/>
    </xf>
    <xf numFmtId="2" fontId="0" fillId="0" borderId="11" xfId="0" applyNumberFormat="1" applyFont="1" applyBorder="1" applyAlignment="1">
      <alignment horizontal="right"/>
    </xf>
    <xf numFmtId="171" fontId="0" fillId="0" borderId="11" xfId="0" applyNumberFormat="1" applyFont="1" applyBorder="1" applyAlignment="1">
      <alignment/>
    </xf>
    <xf numFmtId="2" fontId="0" fillId="0" borderId="11" xfId="0" applyNumberFormat="1" applyFont="1" applyBorder="1" applyAlignment="1">
      <alignment/>
    </xf>
    <xf numFmtId="171" fontId="0" fillId="0" borderId="0" xfId="0" applyNumberFormat="1" applyFont="1" applyAlignment="1">
      <alignment/>
    </xf>
    <xf numFmtId="2" fontId="0" fillId="0" borderId="0" xfId="0" applyNumberFormat="1" applyFont="1" applyAlignment="1">
      <alignment/>
    </xf>
    <xf numFmtId="165" fontId="0" fillId="0" borderId="0" xfId="0" applyNumberFormat="1" applyFont="1" applyAlignment="1">
      <alignment/>
    </xf>
    <xf numFmtId="165" fontId="0" fillId="0" borderId="11" xfId="0" applyNumberFormat="1" applyFont="1" applyBorder="1" applyAlignment="1">
      <alignment horizontal="left"/>
    </xf>
    <xf numFmtId="0" fontId="0" fillId="35" borderId="11" xfId="0" applyFont="1" applyFill="1" applyBorder="1" applyAlignment="1">
      <alignment/>
    </xf>
    <xf numFmtId="165" fontId="0" fillId="35" borderId="11" xfId="0" applyNumberFormat="1" applyFont="1" applyFill="1" applyBorder="1" applyAlignment="1">
      <alignment/>
    </xf>
    <xf numFmtId="171" fontId="38" fillId="0" borderId="11" xfId="0" applyNumberFormat="1" applyFont="1" applyBorder="1" applyAlignment="1">
      <alignment wrapText="1"/>
    </xf>
    <xf numFmtId="2" fontId="38" fillId="0" borderId="11" xfId="0" applyNumberFormat="1" applyFont="1" applyBorder="1" applyAlignment="1">
      <alignment wrapText="1"/>
    </xf>
    <xf numFmtId="165" fontId="38" fillId="0" borderId="11" xfId="0" applyNumberFormat="1" applyFont="1" applyBorder="1" applyAlignment="1">
      <alignment wrapText="1"/>
    </xf>
    <xf numFmtId="165" fontId="38" fillId="0" borderId="11" xfId="0" applyNumberFormat="1" applyFont="1" applyBorder="1" applyAlignment="1">
      <alignment horizontal="right" wrapText="1"/>
    </xf>
    <xf numFmtId="2" fontId="38" fillId="0" borderId="11" xfId="0" applyNumberFormat="1" applyFont="1" applyBorder="1" applyAlignment="1">
      <alignment horizontal="right" wrapText="1"/>
    </xf>
    <xf numFmtId="0" fontId="38" fillId="0" borderId="11" xfId="0" applyFont="1" applyBorder="1" applyAlignment="1">
      <alignment wrapText="1"/>
    </xf>
    <xf numFmtId="0" fontId="59" fillId="0" borderId="11" xfId="0" applyFont="1" applyBorder="1" applyAlignment="1">
      <alignment wrapText="1"/>
    </xf>
    <xf numFmtId="171" fontId="39" fillId="0" borderId="11" xfId="0" applyNumberFormat="1" applyFont="1" applyBorder="1" applyAlignment="1">
      <alignment/>
    </xf>
    <xf numFmtId="165" fontId="39" fillId="0" borderId="11" xfId="0" applyNumberFormat="1" applyFont="1" applyBorder="1" applyAlignment="1">
      <alignment/>
    </xf>
    <xf numFmtId="2" fontId="39" fillId="0" borderId="11" xfId="0" applyNumberFormat="1" applyFont="1" applyBorder="1" applyAlignment="1">
      <alignment/>
    </xf>
    <xf numFmtId="0" fontId="54" fillId="0" borderId="0" xfId="0" applyFont="1" applyAlignment="1">
      <alignment horizontal="left"/>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12" fillId="0" borderId="0" xfId="0" applyFont="1" applyAlignment="1">
      <alignment/>
    </xf>
    <xf numFmtId="49" fontId="12" fillId="34" borderId="0" xfId="0" applyNumberFormat="1" applyFont="1" applyFill="1" applyAlignment="1" applyProtection="1">
      <alignment horizontal="right"/>
      <protection locked="0"/>
    </xf>
    <xf numFmtId="0" fontId="12" fillId="34" borderId="0" xfId="0" applyFont="1" applyFill="1" applyAlignment="1">
      <alignment/>
    </xf>
    <xf numFmtId="164" fontId="12" fillId="34" borderId="0" xfId="0" applyNumberFormat="1" applyFont="1" applyFill="1" applyAlignment="1">
      <alignment/>
    </xf>
    <xf numFmtId="0" fontId="37" fillId="0" borderId="12" xfId="0" applyFont="1" applyBorder="1" applyAlignment="1">
      <alignment horizontal="center" wrapText="1"/>
    </xf>
    <xf numFmtId="0" fontId="37" fillId="0" borderId="14" xfId="0" applyFont="1" applyBorder="1" applyAlignment="1">
      <alignment horizontal="center" wrapText="1"/>
    </xf>
    <xf numFmtId="0" fontId="37" fillId="0" borderId="13"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UPERANNUATION\PERSONAL%20FILES%20BY%20YEAR\SUPERANNUATION%2015\Retirements%202015\Officers\Officers%20Estimates%20in%20the%20future\Towey%20Cathy\New%20Microsoft%20Excel%20Work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1">
        <row r="5">
          <cell r="G5">
            <v>10501.4859</v>
          </cell>
        </row>
      </sheetData>
      <sheetData sheetId="2">
        <row r="3">
          <cell r="G3">
            <v>10002.98</v>
          </cell>
        </row>
        <row r="7">
          <cell r="G7">
            <v>11158.68</v>
          </cell>
        </row>
        <row r="9">
          <cell r="G9">
            <v>12054.960000000001</v>
          </cell>
        </row>
        <row r="11">
          <cell r="G11">
            <v>13453.74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16"/>
  <sheetViews>
    <sheetView tabSelected="1" view="pageLayout" workbookViewId="0" topLeftCell="A1">
      <selection activeCell="B101" sqref="B101"/>
    </sheetView>
  </sheetViews>
  <sheetFormatPr defaultColWidth="9.140625" defaultRowHeight="15"/>
  <cols>
    <col min="1" max="1" width="20.57421875" style="0" customWidth="1"/>
    <col min="2" max="2" width="11.28125" style="14" customWidth="1"/>
    <col min="3" max="3" width="14.00390625" style="0" customWidth="1"/>
    <col min="4" max="4" width="13.28125" style="0" customWidth="1"/>
    <col min="5" max="6" width="16.140625" style="1" customWidth="1"/>
    <col min="7" max="7" width="15.00390625" style="1" customWidth="1"/>
    <col min="8" max="8" width="11.421875" style="0" customWidth="1"/>
  </cols>
  <sheetData>
    <row r="1" spans="1:7" s="7" customFormat="1" ht="28.5">
      <c r="A1" s="124" t="s">
        <v>90</v>
      </c>
      <c r="B1" s="124"/>
      <c r="C1" s="124"/>
      <c r="D1" s="124"/>
      <c r="E1" s="124"/>
      <c r="F1" s="124"/>
      <c r="G1" s="124"/>
    </row>
    <row r="2" spans="1:8" s="41" customFormat="1" ht="15">
      <c r="A2" s="40" t="s">
        <v>55</v>
      </c>
      <c r="B2" s="40" t="s">
        <v>2</v>
      </c>
      <c r="C2" s="40"/>
      <c r="D2" s="40"/>
      <c r="E2" s="40"/>
      <c r="F2" s="40"/>
      <c r="G2" s="3" t="s">
        <v>89</v>
      </c>
      <c r="H2" s="116" t="s">
        <v>2</v>
      </c>
    </row>
    <row r="3" spans="1:8" s="41" customFormat="1" ht="15">
      <c r="A3" s="40" t="s">
        <v>56</v>
      </c>
      <c r="B3" s="40" t="s">
        <v>2</v>
      </c>
      <c r="C3" s="40"/>
      <c r="D3" s="40"/>
      <c r="E3" s="40"/>
      <c r="F3" s="40"/>
      <c r="G3" s="3" t="s">
        <v>57</v>
      </c>
      <c r="H3" s="41" t="s">
        <v>2</v>
      </c>
    </row>
    <row r="4" spans="1:8" s="41" customFormat="1" ht="15">
      <c r="A4" s="40" t="s">
        <v>58</v>
      </c>
      <c r="B4" s="40" t="s">
        <v>2</v>
      </c>
      <c r="C4" s="40"/>
      <c r="D4" s="40"/>
      <c r="E4" s="40"/>
      <c r="F4" s="40"/>
      <c r="G4" s="3" t="s">
        <v>59</v>
      </c>
      <c r="H4" s="41" t="s">
        <v>2</v>
      </c>
    </row>
    <row r="5" spans="1:8" s="41" customFormat="1" ht="15">
      <c r="A5" s="40"/>
      <c r="B5" s="40"/>
      <c r="C5" s="40"/>
      <c r="D5" s="40"/>
      <c r="E5" s="40"/>
      <c r="F5" s="40"/>
      <c r="G5" s="3" t="s">
        <v>61</v>
      </c>
      <c r="H5" s="41" t="s">
        <v>2</v>
      </c>
    </row>
    <row r="6" ht="23.25">
      <c r="A6" s="12" t="s">
        <v>9</v>
      </c>
    </row>
    <row r="7" spans="1:7" s="34" customFormat="1" ht="45">
      <c r="A7" s="35" t="s">
        <v>16</v>
      </c>
      <c r="B7" s="56">
        <v>39609</v>
      </c>
      <c r="C7" s="57"/>
      <c r="D7" s="57" t="s">
        <v>36</v>
      </c>
      <c r="E7" s="58" t="s">
        <v>2</v>
      </c>
      <c r="F7" s="58"/>
      <c r="G7" s="58"/>
    </row>
    <row r="8" spans="2:7" ht="15">
      <c r="B8" s="59"/>
      <c r="C8" s="60"/>
      <c r="D8" s="60"/>
      <c r="E8" s="61"/>
      <c r="F8" s="61"/>
      <c r="G8" s="61"/>
    </row>
    <row r="9" spans="1:8" s="32" customFormat="1" ht="75">
      <c r="A9" s="29"/>
      <c r="B9" s="62" t="s">
        <v>3</v>
      </c>
      <c r="C9" s="63"/>
      <c r="D9" s="63" t="s">
        <v>37</v>
      </c>
      <c r="E9" s="64" t="s">
        <v>38</v>
      </c>
      <c r="F9" s="65" t="s">
        <v>33</v>
      </c>
      <c r="G9" s="63" t="s">
        <v>34</v>
      </c>
      <c r="H9" s="29" t="s">
        <v>1</v>
      </c>
    </row>
    <row r="10" spans="1:8" s="32" customFormat="1" ht="45">
      <c r="A10" s="15" t="s">
        <v>0</v>
      </c>
      <c r="B10" s="66" t="s">
        <v>114</v>
      </c>
      <c r="C10" s="63" t="s">
        <v>115</v>
      </c>
      <c r="D10" s="67">
        <v>0</v>
      </c>
      <c r="E10" s="68">
        <v>0</v>
      </c>
      <c r="F10" s="67">
        <f>SUM(E10/800)</f>
        <v>0</v>
      </c>
      <c r="G10" s="67">
        <f>SUM(D10+F10)</f>
        <v>0</v>
      </c>
      <c r="H10" s="15">
        <v>0</v>
      </c>
    </row>
    <row r="11" spans="1:8" s="32" customFormat="1" ht="15">
      <c r="A11" s="29"/>
      <c r="B11" s="66" t="s">
        <v>39</v>
      </c>
      <c r="C11" s="63"/>
      <c r="D11" s="67">
        <v>0</v>
      </c>
      <c r="E11" s="68">
        <v>369.5</v>
      </c>
      <c r="F11" s="67">
        <f aca="true" t="shared" si="0" ref="F11:F24">SUM(E11/735)</f>
        <v>0.5027</v>
      </c>
      <c r="G11" s="67">
        <f>SUM(D11+F11)</f>
        <v>0.5027</v>
      </c>
      <c r="H11" s="15">
        <v>1</v>
      </c>
    </row>
    <row r="12" spans="1:8" s="32" customFormat="1" ht="15">
      <c r="A12" s="29"/>
      <c r="B12" s="66" t="s">
        <v>40</v>
      </c>
      <c r="C12" s="63"/>
      <c r="D12" s="67">
        <v>0</v>
      </c>
      <c r="E12" s="68">
        <v>506</v>
      </c>
      <c r="F12" s="67">
        <f t="shared" si="0"/>
        <v>0.6884</v>
      </c>
      <c r="G12" s="67">
        <f>SUM(D12+F12)</f>
        <v>0.6884</v>
      </c>
      <c r="H12" s="15">
        <v>1</v>
      </c>
    </row>
    <row r="13" spans="1:8" s="32" customFormat="1" ht="15">
      <c r="A13" s="29"/>
      <c r="B13" s="66" t="s">
        <v>41</v>
      </c>
      <c r="C13" s="63"/>
      <c r="D13" s="67">
        <v>0</v>
      </c>
      <c r="E13" s="68">
        <v>648.5</v>
      </c>
      <c r="F13" s="67">
        <f t="shared" si="0"/>
        <v>0.8823</v>
      </c>
      <c r="G13" s="67">
        <f>SUM(D13+F13)</f>
        <v>0.8823</v>
      </c>
      <c r="H13" s="15">
        <v>1</v>
      </c>
    </row>
    <row r="14" spans="1:8" ht="15">
      <c r="A14" s="29"/>
      <c r="B14" s="69" t="s">
        <v>42</v>
      </c>
      <c r="C14" s="70"/>
      <c r="D14" s="67">
        <v>0</v>
      </c>
      <c r="E14" s="68">
        <v>564.8</v>
      </c>
      <c r="F14" s="67">
        <f t="shared" si="0"/>
        <v>0.7684</v>
      </c>
      <c r="G14" s="67">
        <f>SUM(D14+F14)</f>
        <v>0.7684</v>
      </c>
      <c r="H14" s="15">
        <v>1</v>
      </c>
    </row>
    <row r="15" spans="1:8" ht="15">
      <c r="A15" s="15"/>
      <c r="B15" s="69" t="s">
        <v>43</v>
      </c>
      <c r="C15" s="70"/>
      <c r="D15" s="67">
        <v>0</v>
      </c>
      <c r="E15" s="68">
        <v>691.17</v>
      </c>
      <c r="F15" s="67">
        <f t="shared" si="0"/>
        <v>0.9404</v>
      </c>
      <c r="G15" s="67">
        <f aca="true" t="shared" si="1" ref="G15:G24">SUM(D15+F15)</f>
        <v>0.9404</v>
      </c>
      <c r="H15" s="15">
        <v>1</v>
      </c>
    </row>
    <row r="16" spans="1:8" ht="15">
      <c r="A16" s="15"/>
      <c r="B16" s="69" t="s">
        <v>44</v>
      </c>
      <c r="C16" s="70"/>
      <c r="D16" s="67">
        <v>0</v>
      </c>
      <c r="E16" s="68">
        <v>513</v>
      </c>
      <c r="F16" s="67">
        <f t="shared" si="0"/>
        <v>0.698</v>
      </c>
      <c r="G16" s="67">
        <f t="shared" si="1"/>
        <v>0.698</v>
      </c>
      <c r="H16" s="15">
        <v>1</v>
      </c>
    </row>
    <row r="17" spans="1:8" ht="15">
      <c r="A17" s="15"/>
      <c r="B17" s="69" t="s">
        <v>45</v>
      </c>
      <c r="C17" s="71"/>
      <c r="D17" s="67">
        <v>0</v>
      </c>
      <c r="E17" s="68">
        <v>515.5</v>
      </c>
      <c r="F17" s="67">
        <f t="shared" si="0"/>
        <v>0.7014</v>
      </c>
      <c r="G17" s="67">
        <f t="shared" si="1"/>
        <v>0.7014</v>
      </c>
      <c r="H17" s="15">
        <v>1</v>
      </c>
    </row>
    <row r="18" spans="1:8" ht="15">
      <c r="A18" s="15"/>
      <c r="B18" s="69" t="s">
        <v>46</v>
      </c>
      <c r="C18" s="71"/>
      <c r="D18" s="67">
        <v>0</v>
      </c>
      <c r="E18" s="68">
        <v>517.25</v>
      </c>
      <c r="F18" s="67">
        <f t="shared" si="0"/>
        <v>0.7037</v>
      </c>
      <c r="G18" s="67">
        <f t="shared" si="1"/>
        <v>0.7037</v>
      </c>
      <c r="H18" s="15">
        <v>1</v>
      </c>
    </row>
    <row r="19" spans="1:8" s="2" customFormat="1" ht="15">
      <c r="A19" s="16" t="s">
        <v>2</v>
      </c>
      <c r="B19" s="69" t="s">
        <v>47</v>
      </c>
      <c r="C19" s="72"/>
      <c r="D19" s="67">
        <v>0</v>
      </c>
      <c r="E19" s="68">
        <v>513.5</v>
      </c>
      <c r="F19" s="67">
        <f t="shared" si="0"/>
        <v>0.6986</v>
      </c>
      <c r="G19" s="67">
        <f t="shared" si="1"/>
        <v>0.6986</v>
      </c>
      <c r="H19" s="15">
        <v>1</v>
      </c>
    </row>
    <row r="20" spans="1:8" ht="15">
      <c r="A20" s="15"/>
      <c r="B20" s="69" t="s">
        <v>48</v>
      </c>
      <c r="C20" s="71"/>
      <c r="D20" s="67">
        <v>0</v>
      </c>
      <c r="E20" s="68">
        <v>484.15</v>
      </c>
      <c r="F20" s="67">
        <f t="shared" si="0"/>
        <v>0.6587</v>
      </c>
      <c r="G20" s="67">
        <f t="shared" si="1"/>
        <v>0.6587</v>
      </c>
      <c r="H20" s="15">
        <v>1</v>
      </c>
    </row>
    <row r="21" spans="1:8" ht="15">
      <c r="A21" s="15"/>
      <c r="B21" s="69" t="s">
        <v>49</v>
      </c>
      <c r="C21" s="71"/>
      <c r="D21" s="67">
        <v>0</v>
      </c>
      <c r="E21" s="68">
        <v>535.05</v>
      </c>
      <c r="F21" s="67">
        <f t="shared" si="0"/>
        <v>0.728</v>
      </c>
      <c r="G21" s="67">
        <f t="shared" si="1"/>
        <v>0.728</v>
      </c>
      <c r="H21" s="15">
        <v>1</v>
      </c>
    </row>
    <row r="22" spans="1:8" ht="15">
      <c r="A22" s="15"/>
      <c r="B22" s="69" t="s">
        <v>50</v>
      </c>
      <c r="C22" s="71"/>
      <c r="D22" s="67">
        <v>0</v>
      </c>
      <c r="E22" s="68">
        <v>626.73</v>
      </c>
      <c r="F22" s="67">
        <f t="shared" si="0"/>
        <v>0.8527</v>
      </c>
      <c r="G22" s="67">
        <f t="shared" si="1"/>
        <v>0.8527</v>
      </c>
      <c r="H22" s="15">
        <v>1</v>
      </c>
    </row>
    <row r="23" spans="1:8" ht="15">
      <c r="A23" s="15"/>
      <c r="B23" s="73" t="s">
        <v>51</v>
      </c>
      <c r="C23" s="70"/>
      <c r="D23" s="67">
        <v>0.1317</v>
      </c>
      <c r="E23" s="68">
        <v>546.23</v>
      </c>
      <c r="F23" s="67">
        <f t="shared" si="0"/>
        <v>0.7432</v>
      </c>
      <c r="G23" s="67">
        <f t="shared" si="1"/>
        <v>0.8749</v>
      </c>
      <c r="H23" s="15">
        <v>1</v>
      </c>
    </row>
    <row r="24" spans="1:8" ht="15">
      <c r="A24" s="15"/>
      <c r="B24" s="73" t="s">
        <v>52</v>
      </c>
      <c r="C24" s="70"/>
      <c r="D24" s="67">
        <v>0.5455</v>
      </c>
      <c r="E24" s="68">
        <v>0</v>
      </c>
      <c r="F24" s="67">
        <f t="shared" si="0"/>
        <v>0</v>
      </c>
      <c r="G24" s="67">
        <f t="shared" si="1"/>
        <v>0.5455</v>
      </c>
      <c r="H24" s="15">
        <v>1</v>
      </c>
    </row>
    <row r="25" spans="1:8" s="2" customFormat="1" ht="15">
      <c r="A25" s="16" t="s">
        <v>4</v>
      </c>
      <c r="B25" s="74"/>
      <c r="C25" s="75"/>
      <c r="D25" s="76"/>
      <c r="E25" s="77"/>
      <c r="F25" s="76"/>
      <c r="G25" s="76">
        <f>SUM(G10:G24)</f>
        <v>10.2437</v>
      </c>
      <c r="H25" s="18">
        <f>SUM(H10:H24)</f>
        <v>14</v>
      </c>
    </row>
    <row r="26" spans="2:7" s="2" customFormat="1" ht="15">
      <c r="B26" s="78"/>
      <c r="C26" s="79"/>
      <c r="D26" s="79"/>
      <c r="E26" s="80"/>
      <c r="F26" s="80"/>
      <c r="G26" s="80"/>
    </row>
    <row r="27" spans="1:8" s="2" customFormat="1" ht="15.75" thickBot="1">
      <c r="A27" s="10"/>
      <c r="B27" s="81"/>
      <c r="C27" s="82"/>
      <c r="D27" s="82"/>
      <c r="E27" s="83"/>
      <c r="F27" s="83"/>
      <c r="G27" s="83"/>
      <c r="H27" s="10"/>
    </row>
    <row r="28" spans="1:8" s="6" customFormat="1" ht="34.5" thickTop="1">
      <c r="A28" s="174" t="s">
        <v>24</v>
      </c>
      <c r="B28" s="175"/>
      <c r="C28" s="176"/>
      <c r="D28" s="176"/>
      <c r="E28" s="177"/>
      <c r="F28" s="177"/>
      <c r="G28" s="177"/>
      <c r="H28" s="174"/>
    </row>
    <row r="29" spans="2:7" s="2" customFormat="1" ht="15">
      <c r="B29" s="78"/>
      <c r="C29" s="79"/>
      <c r="D29" s="79"/>
      <c r="E29" s="80"/>
      <c r="F29" s="80"/>
      <c r="G29" s="80"/>
    </row>
    <row r="30" spans="2:7" ht="15">
      <c r="B30" s="84"/>
      <c r="C30" s="60"/>
      <c r="D30" s="60"/>
      <c r="E30" s="61"/>
      <c r="F30" s="61"/>
      <c r="G30" s="61"/>
    </row>
    <row r="31" spans="1:8" s="32" customFormat="1" ht="75">
      <c r="A31" s="31" t="s">
        <v>25</v>
      </c>
      <c r="B31" s="62"/>
      <c r="C31" s="85" t="s">
        <v>16</v>
      </c>
      <c r="D31" s="64" t="s">
        <v>17</v>
      </c>
      <c r="E31" s="64"/>
      <c r="F31" s="64"/>
      <c r="G31" s="63" t="s">
        <v>13</v>
      </c>
      <c r="H31" s="30" t="s">
        <v>14</v>
      </c>
    </row>
    <row r="32" spans="1:8" s="32" customFormat="1" ht="15">
      <c r="A32" s="15" t="s">
        <v>6</v>
      </c>
      <c r="B32" s="66" t="s">
        <v>114</v>
      </c>
      <c r="C32" s="86">
        <f>(B7)</f>
        <v>39609</v>
      </c>
      <c r="D32" s="87">
        <f aca="true" t="shared" si="2" ref="D32:D46">SUM(C32*G10)</f>
        <v>0</v>
      </c>
      <c r="E32" s="88" t="s">
        <v>2</v>
      </c>
      <c r="F32" s="88" t="s">
        <v>2</v>
      </c>
      <c r="G32" s="89">
        <f aca="true" t="shared" si="3" ref="G32:G46">SUM(H10)</f>
        <v>0</v>
      </c>
      <c r="H32" s="21">
        <f>SUM(D32*G32)*0.0375</f>
        <v>0</v>
      </c>
    </row>
    <row r="33" spans="1:8" s="32" customFormat="1" ht="15">
      <c r="A33" s="36"/>
      <c r="B33" s="66" t="s">
        <v>39</v>
      </c>
      <c r="C33" s="86">
        <f>B7</f>
        <v>39609</v>
      </c>
      <c r="D33" s="87">
        <f t="shared" si="2"/>
        <v>19911.44</v>
      </c>
      <c r="E33" s="88" t="s">
        <v>2</v>
      </c>
      <c r="F33" s="88" t="s">
        <v>2</v>
      </c>
      <c r="G33" s="89">
        <f t="shared" si="3"/>
        <v>1</v>
      </c>
      <c r="H33" s="21">
        <f>SUM(D33*G33)*0.0375</f>
        <v>746.68</v>
      </c>
    </row>
    <row r="34" spans="1:8" s="32" customFormat="1" ht="15">
      <c r="A34" s="36"/>
      <c r="B34" s="66" t="s">
        <v>40</v>
      </c>
      <c r="C34" s="86">
        <f>B7</f>
        <v>39609</v>
      </c>
      <c r="D34" s="87">
        <f t="shared" si="2"/>
        <v>27266.84</v>
      </c>
      <c r="E34" s="88"/>
      <c r="F34" s="88"/>
      <c r="G34" s="89">
        <f t="shared" si="3"/>
        <v>1</v>
      </c>
      <c r="H34" s="21">
        <f>SUM(D34*G34)*0.0375</f>
        <v>1022.51</v>
      </c>
    </row>
    <row r="35" spans="1:8" s="32" customFormat="1" ht="15">
      <c r="A35" s="36"/>
      <c r="B35" s="66" t="s">
        <v>41</v>
      </c>
      <c r="C35" s="86">
        <f>B7</f>
        <v>39609</v>
      </c>
      <c r="D35" s="87">
        <f t="shared" si="2"/>
        <v>34947.02</v>
      </c>
      <c r="E35" s="88"/>
      <c r="F35" s="88"/>
      <c r="G35" s="89">
        <f t="shared" si="3"/>
        <v>1</v>
      </c>
      <c r="H35" s="21">
        <f>SUM(D35*G35)*0.0375</f>
        <v>1310.51</v>
      </c>
    </row>
    <row r="36" spans="2:8" ht="15">
      <c r="B36" s="69" t="s">
        <v>42</v>
      </c>
      <c r="C36" s="86">
        <f>SUM(B7)</f>
        <v>39609</v>
      </c>
      <c r="D36" s="87">
        <f t="shared" si="2"/>
        <v>30435.56</v>
      </c>
      <c r="E36" s="67"/>
      <c r="F36" s="67"/>
      <c r="G36" s="89">
        <f t="shared" si="3"/>
        <v>1</v>
      </c>
      <c r="H36" s="21">
        <f>SUM(D36*G36)*0.0375</f>
        <v>1141.33</v>
      </c>
    </row>
    <row r="37" spans="1:8" ht="15">
      <c r="A37" s="15"/>
      <c r="B37" s="69" t="s">
        <v>43</v>
      </c>
      <c r="C37" s="86">
        <f>SUM(B7)</f>
        <v>39609</v>
      </c>
      <c r="D37" s="87">
        <f t="shared" si="2"/>
        <v>37248.3</v>
      </c>
      <c r="E37" s="67"/>
      <c r="F37" s="67"/>
      <c r="G37" s="89">
        <f t="shared" si="3"/>
        <v>1</v>
      </c>
      <c r="H37" s="21">
        <f aca="true" t="shared" si="4" ref="H37:H46">SUM(D37*G37)*0.0375</f>
        <v>1396.81</v>
      </c>
    </row>
    <row r="38" spans="1:8" ht="15">
      <c r="A38" s="15"/>
      <c r="B38" s="69" t="s">
        <v>44</v>
      </c>
      <c r="C38" s="86">
        <f>SUM(B7)</f>
        <v>39609</v>
      </c>
      <c r="D38" s="87">
        <f t="shared" si="2"/>
        <v>27647.08</v>
      </c>
      <c r="E38" s="67"/>
      <c r="F38" s="67"/>
      <c r="G38" s="89">
        <f t="shared" si="3"/>
        <v>1</v>
      </c>
      <c r="H38" s="21">
        <f t="shared" si="4"/>
        <v>1036.77</v>
      </c>
    </row>
    <row r="39" spans="1:8" ht="15">
      <c r="A39" s="15"/>
      <c r="B39" s="69" t="s">
        <v>45</v>
      </c>
      <c r="C39" s="86">
        <f>SUM(B7)</f>
        <v>39609</v>
      </c>
      <c r="D39" s="87">
        <f t="shared" si="2"/>
        <v>27781.75</v>
      </c>
      <c r="E39" s="67" t="s">
        <v>2</v>
      </c>
      <c r="F39" s="67"/>
      <c r="G39" s="89">
        <f t="shared" si="3"/>
        <v>1</v>
      </c>
      <c r="H39" s="21">
        <f t="shared" si="4"/>
        <v>1041.82</v>
      </c>
    </row>
    <row r="40" spans="1:8" ht="15">
      <c r="A40" s="15"/>
      <c r="B40" s="69" t="s">
        <v>46</v>
      </c>
      <c r="C40" s="86">
        <f>SUM(B7)</f>
        <v>39609</v>
      </c>
      <c r="D40" s="87">
        <f t="shared" si="2"/>
        <v>27872.85</v>
      </c>
      <c r="E40" s="67"/>
      <c r="F40" s="90"/>
      <c r="G40" s="89">
        <f t="shared" si="3"/>
        <v>1</v>
      </c>
      <c r="H40" s="21">
        <f t="shared" si="4"/>
        <v>1045.23</v>
      </c>
    </row>
    <row r="41" spans="1:8" ht="15">
      <c r="A41" s="15"/>
      <c r="B41" s="69" t="s">
        <v>47</v>
      </c>
      <c r="C41" s="86">
        <f>SUM(B7)</f>
        <v>39609</v>
      </c>
      <c r="D41" s="87">
        <f t="shared" si="2"/>
        <v>27670.85</v>
      </c>
      <c r="E41" s="67" t="s">
        <v>2</v>
      </c>
      <c r="F41" s="68"/>
      <c r="G41" s="89">
        <f t="shared" si="3"/>
        <v>1</v>
      </c>
      <c r="H41" s="21">
        <f t="shared" si="4"/>
        <v>1037.66</v>
      </c>
    </row>
    <row r="42" spans="1:8" ht="15">
      <c r="A42" s="15"/>
      <c r="B42" s="69" t="s">
        <v>48</v>
      </c>
      <c r="C42" s="86">
        <f>SUM(B7)</f>
        <v>39609</v>
      </c>
      <c r="D42" s="87">
        <f t="shared" si="2"/>
        <v>26090.45</v>
      </c>
      <c r="E42" s="67"/>
      <c r="F42" s="68"/>
      <c r="G42" s="89">
        <f t="shared" si="3"/>
        <v>1</v>
      </c>
      <c r="H42" s="21">
        <f t="shared" si="4"/>
        <v>978.39</v>
      </c>
    </row>
    <row r="43" spans="1:8" ht="15">
      <c r="A43" s="15"/>
      <c r="B43" s="69" t="s">
        <v>49</v>
      </c>
      <c r="C43" s="86">
        <f>SUM(B7)</f>
        <v>39609</v>
      </c>
      <c r="D43" s="87">
        <f t="shared" si="2"/>
        <v>28835.35</v>
      </c>
      <c r="E43" s="67"/>
      <c r="F43" s="68"/>
      <c r="G43" s="89">
        <f t="shared" si="3"/>
        <v>1</v>
      </c>
      <c r="H43" s="21">
        <f t="shared" si="4"/>
        <v>1081.33</v>
      </c>
    </row>
    <row r="44" spans="1:8" ht="15">
      <c r="A44" s="15"/>
      <c r="B44" s="69" t="s">
        <v>50</v>
      </c>
      <c r="C44" s="86">
        <f>SUM(B7)</f>
        <v>39609</v>
      </c>
      <c r="D44" s="87">
        <f t="shared" si="2"/>
        <v>33774.59</v>
      </c>
      <c r="E44" s="67"/>
      <c r="F44" s="68"/>
      <c r="G44" s="89">
        <f t="shared" si="3"/>
        <v>1</v>
      </c>
      <c r="H44" s="21">
        <f t="shared" si="4"/>
        <v>1266.55</v>
      </c>
    </row>
    <row r="45" spans="1:8" s="9" customFormat="1" ht="15">
      <c r="A45" s="15"/>
      <c r="B45" s="73" t="s">
        <v>51</v>
      </c>
      <c r="C45" s="91">
        <f>B7</f>
        <v>39609</v>
      </c>
      <c r="D45" s="87">
        <f t="shared" si="2"/>
        <v>34653.91</v>
      </c>
      <c r="E45" s="68" t="s">
        <v>2</v>
      </c>
      <c r="F45" s="92"/>
      <c r="G45" s="89">
        <f t="shared" si="3"/>
        <v>1</v>
      </c>
      <c r="H45" s="21">
        <f t="shared" si="4"/>
        <v>1299.52</v>
      </c>
    </row>
    <row r="46" spans="1:8" s="9" customFormat="1" ht="15">
      <c r="A46" s="15"/>
      <c r="B46" s="73" t="s">
        <v>52</v>
      </c>
      <c r="C46" s="91">
        <f>B7</f>
        <v>39609</v>
      </c>
      <c r="D46" s="87">
        <f t="shared" si="2"/>
        <v>21606.71</v>
      </c>
      <c r="E46" s="68" t="s">
        <v>2</v>
      </c>
      <c r="F46" s="92"/>
      <c r="G46" s="89">
        <f t="shared" si="3"/>
        <v>1</v>
      </c>
      <c r="H46" s="21">
        <f t="shared" si="4"/>
        <v>810.25</v>
      </c>
    </row>
    <row r="47" spans="1:8" s="9" customFormat="1" ht="15">
      <c r="A47" s="15"/>
      <c r="B47" s="93"/>
      <c r="C47" s="86"/>
      <c r="D47" s="87"/>
      <c r="E47" s="92"/>
      <c r="F47" s="92"/>
      <c r="G47" s="67">
        <f>SUM(G32:G46)</f>
        <v>14</v>
      </c>
      <c r="H47" s="21"/>
    </row>
    <row r="48" spans="1:8" s="9" customFormat="1" ht="15">
      <c r="A48" s="17" t="s">
        <v>15</v>
      </c>
      <c r="B48" s="93"/>
      <c r="C48" s="94"/>
      <c r="D48" s="94"/>
      <c r="E48" s="92"/>
      <c r="F48" s="92"/>
      <c r="G48" s="92"/>
      <c r="H48" s="22">
        <f>SUM(H32:H47)</f>
        <v>15215.36</v>
      </c>
    </row>
    <row r="49" spans="1:8" s="2" customFormat="1" ht="15">
      <c r="A49" s="17"/>
      <c r="B49" s="74"/>
      <c r="C49" s="75"/>
      <c r="D49" s="75"/>
      <c r="E49" s="76"/>
      <c r="F49" s="76"/>
      <c r="G49" s="76"/>
      <c r="H49" s="49"/>
    </row>
    <row r="50" spans="1:8" s="2" customFormat="1" ht="15">
      <c r="A50" s="17"/>
      <c r="B50" s="74"/>
      <c r="C50" s="75"/>
      <c r="D50" s="75"/>
      <c r="E50" s="76"/>
      <c r="F50" s="76"/>
      <c r="G50" s="76"/>
      <c r="H50" s="49"/>
    </row>
    <row r="51" spans="1:8" s="2" customFormat="1" ht="15">
      <c r="A51" s="114" t="s">
        <v>8</v>
      </c>
      <c r="B51" s="74"/>
      <c r="C51" s="75"/>
      <c r="D51" s="75"/>
      <c r="E51" s="76"/>
      <c r="F51" s="76"/>
      <c r="G51" s="76"/>
      <c r="H51" s="50">
        <f>SUM(H48-H49-H50)</f>
        <v>15215.36</v>
      </c>
    </row>
    <row r="52" spans="1:8" s="2" customFormat="1" ht="15">
      <c r="A52" s="109"/>
      <c r="B52" s="118"/>
      <c r="C52" s="109"/>
      <c r="D52" s="109"/>
      <c r="E52" s="110"/>
      <c r="F52" s="110"/>
      <c r="G52" s="110"/>
      <c r="H52" s="119"/>
    </row>
    <row r="53" spans="1:8" s="2" customFormat="1" ht="15">
      <c r="A53" s="109"/>
      <c r="B53" s="118"/>
      <c r="C53" s="109"/>
      <c r="D53" s="109"/>
      <c r="E53" s="110"/>
      <c r="F53" s="110"/>
      <c r="G53" s="110"/>
      <c r="H53" s="119"/>
    </row>
    <row r="54" spans="1:8" s="2" customFormat="1" ht="15">
      <c r="A54" s="109"/>
      <c r="B54" s="118"/>
      <c r="C54" s="109"/>
      <c r="D54" s="109"/>
      <c r="E54" s="110"/>
      <c r="F54" s="110"/>
      <c r="G54" s="110"/>
      <c r="H54" s="119"/>
    </row>
    <row r="55" spans="2:8" s="2" customFormat="1" ht="15">
      <c r="B55" s="78"/>
      <c r="C55" s="79"/>
      <c r="D55" s="79"/>
      <c r="E55" s="80"/>
      <c r="F55" s="80"/>
      <c r="G55" s="80"/>
      <c r="H55" s="13"/>
    </row>
    <row r="56" spans="1:8" s="32" customFormat="1" ht="75">
      <c r="A56" s="31" t="s">
        <v>21</v>
      </c>
      <c r="B56" s="62"/>
      <c r="C56" s="85" t="s">
        <v>16</v>
      </c>
      <c r="D56" s="64" t="s">
        <v>17</v>
      </c>
      <c r="E56" s="64" t="s">
        <v>18</v>
      </c>
      <c r="F56" s="64" t="s">
        <v>20</v>
      </c>
      <c r="G56" s="63" t="s">
        <v>13</v>
      </c>
      <c r="H56" s="30" t="s">
        <v>19</v>
      </c>
    </row>
    <row r="57" spans="1:8" s="32" customFormat="1" ht="15">
      <c r="A57" s="36"/>
      <c r="B57" s="66" t="s">
        <v>114</v>
      </c>
      <c r="C57" s="86">
        <f>B7</f>
        <v>39609</v>
      </c>
      <c r="D57" s="87">
        <f aca="true" t="shared" si="5" ref="D57:D71">SUM(C57*G10)</f>
        <v>0</v>
      </c>
      <c r="E57" s="68">
        <v>24347.2</v>
      </c>
      <c r="F57" s="91">
        <f>SUM(D57-E57)</f>
        <v>-24347.2</v>
      </c>
      <c r="G57" s="70">
        <f aca="true" t="shared" si="6" ref="G57:G71">SUM(H10)</f>
        <v>0</v>
      </c>
      <c r="H57" s="23" t="str">
        <f>IF(F57&lt;=0,"0",F57*G57*1/80)</f>
        <v>0</v>
      </c>
    </row>
    <row r="58" spans="1:8" s="32" customFormat="1" ht="15">
      <c r="A58" s="36"/>
      <c r="B58" s="66" t="s">
        <v>39</v>
      </c>
      <c r="C58" s="86">
        <f>B7</f>
        <v>39609</v>
      </c>
      <c r="D58" s="87">
        <f t="shared" si="5"/>
        <v>19911.44</v>
      </c>
      <c r="E58" s="68">
        <v>24347.2</v>
      </c>
      <c r="F58" s="91">
        <f>SUM(D58-E58)</f>
        <v>-4435.76</v>
      </c>
      <c r="G58" s="70">
        <f t="shared" si="6"/>
        <v>1</v>
      </c>
      <c r="H58" s="23" t="str">
        <f aca="true" t="shared" si="7" ref="H58:H71">IF(F58&lt;=0,"0",F58*G58*1/80)</f>
        <v>0</v>
      </c>
    </row>
    <row r="59" spans="1:8" s="32" customFormat="1" ht="15">
      <c r="A59" s="36"/>
      <c r="B59" s="66" t="s">
        <v>40</v>
      </c>
      <c r="C59" s="86">
        <f>B7</f>
        <v>39609</v>
      </c>
      <c r="D59" s="87">
        <f t="shared" si="5"/>
        <v>27266.84</v>
      </c>
      <c r="E59" s="68">
        <v>24347.2</v>
      </c>
      <c r="F59" s="91">
        <f>SUM(D59-E59)</f>
        <v>2919.64</v>
      </c>
      <c r="G59" s="70">
        <f t="shared" si="6"/>
        <v>1</v>
      </c>
      <c r="H59" s="23">
        <f t="shared" si="7"/>
        <v>36.5</v>
      </c>
    </row>
    <row r="60" spans="1:8" s="32" customFormat="1" ht="15">
      <c r="A60" s="36"/>
      <c r="B60" s="66" t="s">
        <v>41</v>
      </c>
      <c r="C60" s="86">
        <f>B7</f>
        <v>39609</v>
      </c>
      <c r="D60" s="87">
        <f t="shared" si="5"/>
        <v>34947.02</v>
      </c>
      <c r="E60" s="68">
        <v>24347.2</v>
      </c>
      <c r="F60" s="91">
        <f>SUM(D60-E60)</f>
        <v>10599.82</v>
      </c>
      <c r="G60" s="70">
        <f t="shared" si="6"/>
        <v>1</v>
      </c>
      <c r="H60" s="23">
        <f t="shared" si="7"/>
        <v>132.5</v>
      </c>
    </row>
    <row r="61" spans="1:8" s="2" customFormat="1" ht="15">
      <c r="A61" s="15"/>
      <c r="B61" s="69" t="s">
        <v>42</v>
      </c>
      <c r="C61" s="86">
        <f>SUM(B7)</f>
        <v>39609</v>
      </c>
      <c r="D61" s="87">
        <f t="shared" si="5"/>
        <v>30435.56</v>
      </c>
      <c r="E61" s="68">
        <v>24347.2</v>
      </c>
      <c r="F61" s="91">
        <f>SUM(D61-E61)</f>
        <v>6088.36</v>
      </c>
      <c r="G61" s="70">
        <f t="shared" si="6"/>
        <v>1</v>
      </c>
      <c r="H61" s="23">
        <f t="shared" si="7"/>
        <v>76.1</v>
      </c>
    </row>
    <row r="62" spans="1:8" s="2" customFormat="1" ht="15">
      <c r="A62" s="15"/>
      <c r="B62" s="69" t="s">
        <v>43</v>
      </c>
      <c r="C62" s="86">
        <f>SUM(B7)</f>
        <v>39609</v>
      </c>
      <c r="D62" s="87">
        <f t="shared" si="5"/>
        <v>37248.3</v>
      </c>
      <c r="E62" s="68">
        <v>24347.2</v>
      </c>
      <c r="F62" s="91">
        <f aca="true" t="shared" si="8" ref="F62:F71">SUM(D62-E62)</f>
        <v>12901.1</v>
      </c>
      <c r="G62" s="70">
        <f t="shared" si="6"/>
        <v>1</v>
      </c>
      <c r="H62" s="23">
        <f t="shared" si="7"/>
        <v>161.26</v>
      </c>
    </row>
    <row r="63" spans="1:8" s="2" customFormat="1" ht="15">
      <c r="A63" s="15"/>
      <c r="B63" s="69" t="s">
        <v>44</v>
      </c>
      <c r="C63" s="86">
        <f>SUM(B7)</f>
        <v>39609</v>
      </c>
      <c r="D63" s="87">
        <f t="shared" si="5"/>
        <v>27647.08</v>
      </c>
      <c r="E63" s="68">
        <v>24347.2</v>
      </c>
      <c r="F63" s="91">
        <f t="shared" si="8"/>
        <v>3299.88</v>
      </c>
      <c r="G63" s="70">
        <f t="shared" si="6"/>
        <v>1</v>
      </c>
      <c r="H63" s="23">
        <f t="shared" si="7"/>
        <v>41.25</v>
      </c>
    </row>
    <row r="64" spans="1:8" s="2" customFormat="1" ht="15">
      <c r="A64" s="15"/>
      <c r="B64" s="69" t="s">
        <v>45</v>
      </c>
      <c r="C64" s="86">
        <f>SUM(B7)</f>
        <v>39609</v>
      </c>
      <c r="D64" s="87">
        <f t="shared" si="5"/>
        <v>27781.75</v>
      </c>
      <c r="E64" s="68">
        <v>24347.2</v>
      </c>
      <c r="F64" s="91">
        <f t="shared" si="8"/>
        <v>3434.55</v>
      </c>
      <c r="G64" s="70">
        <f t="shared" si="6"/>
        <v>1</v>
      </c>
      <c r="H64" s="23">
        <f t="shared" si="7"/>
        <v>42.93</v>
      </c>
    </row>
    <row r="65" spans="1:8" s="2" customFormat="1" ht="15">
      <c r="A65" s="15"/>
      <c r="B65" s="69" t="s">
        <v>46</v>
      </c>
      <c r="C65" s="86">
        <f>SUM(B7)</f>
        <v>39609</v>
      </c>
      <c r="D65" s="87">
        <f t="shared" si="5"/>
        <v>27872.85</v>
      </c>
      <c r="E65" s="68">
        <v>24347.2</v>
      </c>
      <c r="F65" s="91">
        <f t="shared" si="8"/>
        <v>3525.65</v>
      </c>
      <c r="G65" s="70">
        <f t="shared" si="6"/>
        <v>1</v>
      </c>
      <c r="H65" s="23">
        <f t="shared" si="7"/>
        <v>44.07</v>
      </c>
    </row>
    <row r="66" spans="1:8" s="2" customFormat="1" ht="15">
      <c r="A66" s="15"/>
      <c r="B66" s="69" t="s">
        <v>47</v>
      </c>
      <c r="C66" s="86">
        <f>SUM(B7)</f>
        <v>39609</v>
      </c>
      <c r="D66" s="87">
        <f t="shared" si="5"/>
        <v>27670.85</v>
      </c>
      <c r="E66" s="68">
        <v>24347.2</v>
      </c>
      <c r="F66" s="91">
        <f t="shared" si="8"/>
        <v>3323.65</v>
      </c>
      <c r="G66" s="70">
        <f t="shared" si="6"/>
        <v>1</v>
      </c>
      <c r="H66" s="23">
        <f t="shared" si="7"/>
        <v>41.55</v>
      </c>
    </row>
    <row r="67" spans="1:8" s="2" customFormat="1" ht="15">
      <c r="A67" s="15"/>
      <c r="B67" s="69" t="s">
        <v>48</v>
      </c>
      <c r="C67" s="86">
        <f>SUM(B7)</f>
        <v>39609</v>
      </c>
      <c r="D67" s="87">
        <f t="shared" si="5"/>
        <v>26090.45</v>
      </c>
      <c r="E67" s="68">
        <v>24347.2</v>
      </c>
      <c r="F67" s="91">
        <f t="shared" si="8"/>
        <v>1743.25</v>
      </c>
      <c r="G67" s="70">
        <f t="shared" si="6"/>
        <v>1</v>
      </c>
      <c r="H67" s="23">
        <f t="shared" si="7"/>
        <v>21.79</v>
      </c>
    </row>
    <row r="68" spans="1:8" s="2" customFormat="1" ht="15">
      <c r="A68" s="15"/>
      <c r="B68" s="69" t="s">
        <v>49</v>
      </c>
      <c r="C68" s="86">
        <f>SUM(B7)</f>
        <v>39609</v>
      </c>
      <c r="D68" s="87">
        <f t="shared" si="5"/>
        <v>28835.35</v>
      </c>
      <c r="E68" s="68">
        <v>24347.2</v>
      </c>
      <c r="F68" s="91">
        <f t="shared" si="8"/>
        <v>4488.15</v>
      </c>
      <c r="G68" s="70">
        <f t="shared" si="6"/>
        <v>1</v>
      </c>
      <c r="H68" s="23">
        <f t="shared" si="7"/>
        <v>56.1</v>
      </c>
    </row>
    <row r="69" spans="1:8" s="2" customFormat="1" ht="15">
      <c r="A69" s="15"/>
      <c r="B69" s="69" t="s">
        <v>50</v>
      </c>
      <c r="C69" s="86">
        <f>SUM(B7)</f>
        <v>39609</v>
      </c>
      <c r="D69" s="87">
        <f t="shared" si="5"/>
        <v>33774.59</v>
      </c>
      <c r="E69" s="68">
        <v>24347.2</v>
      </c>
      <c r="F69" s="91">
        <f t="shared" si="8"/>
        <v>9427.39</v>
      </c>
      <c r="G69" s="70">
        <f t="shared" si="6"/>
        <v>1</v>
      </c>
      <c r="H69" s="23">
        <f t="shared" si="7"/>
        <v>117.84</v>
      </c>
    </row>
    <row r="70" spans="1:8" s="2" customFormat="1" ht="15">
      <c r="A70" s="15"/>
      <c r="B70" s="73" t="s">
        <v>51</v>
      </c>
      <c r="C70" s="91">
        <f>B7</f>
        <v>39609</v>
      </c>
      <c r="D70" s="87">
        <f t="shared" si="5"/>
        <v>34653.91</v>
      </c>
      <c r="E70" s="68">
        <v>24347.2</v>
      </c>
      <c r="F70" s="91">
        <f t="shared" si="8"/>
        <v>10306.71</v>
      </c>
      <c r="G70" s="70">
        <f t="shared" si="6"/>
        <v>1</v>
      </c>
      <c r="H70" s="23">
        <f t="shared" si="7"/>
        <v>128.83</v>
      </c>
    </row>
    <row r="71" spans="1:8" s="2" customFormat="1" ht="15">
      <c r="A71" s="15"/>
      <c r="B71" s="73" t="s">
        <v>52</v>
      </c>
      <c r="C71" s="91">
        <f>B7</f>
        <v>39609</v>
      </c>
      <c r="D71" s="87">
        <f t="shared" si="5"/>
        <v>21606.71</v>
      </c>
      <c r="E71" s="68">
        <v>24347.2</v>
      </c>
      <c r="F71" s="91">
        <f t="shared" si="8"/>
        <v>-2740.49</v>
      </c>
      <c r="G71" s="70">
        <f t="shared" si="6"/>
        <v>1</v>
      </c>
      <c r="H71" s="23" t="str">
        <f t="shared" si="7"/>
        <v>0</v>
      </c>
    </row>
    <row r="72" spans="1:8" s="2" customFormat="1" ht="15">
      <c r="A72" s="15"/>
      <c r="B72" s="73"/>
      <c r="C72" s="86"/>
      <c r="D72" s="87"/>
      <c r="E72" s="68"/>
      <c r="F72" s="91"/>
      <c r="G72" s="70"/>
      <c r="H72" s="23"/>
    </row>
    <row r="73" spans="1:8" s="2" customFormat="1" ht="15">
      <c r="A73" s="15"/>
      <c r="B73" s="73"/>
      <c r="C73" s="70"/>
      <c r="D73" s="70"/>
      <c r="E73" s="67"/>
      <c r="F73" s="67"/>
      <c r="G73" s="67"/>
      <c r="H73" s="15"/>
    </row>
    <row r="74" spans="1:8" s="32" customFormat="1" ht="30">
      <c r="A74" s="115" t="s">
        <v>22</v>
      </c>
      <c r="B74" s="95"/>
      <c r="C74" s="63"/>
      <c r="D74" s="63"/>
      <c r="E74" s="64"/>
      <c r="F74" s="64"/>
      <c r="G74" s="64">
        <f>SUM(G57:G72)</f>
        <v>14</v>
      </c>
      <c r="H74" s="111">
        <f>SUM(H57:H72)</f>
        <v>900.72</v>
      </c>
    </row>
    <row r="75" spans="1:8" s="2" customFormat="1" ht="15">
      <c r="A75" s="16"/>
      <c r="B75" s="74"/>
      <c r="C75" s="75"/>
      <c r="D75" s="75"/>
      <c r="E75" s="76"/>
      <c r="F75" s="76"/>
      <c r="G75" s="76"/>
      <c r="H75" s="24"/>
    </row>
    <row r="76" spans="1:8" s="2" customFormat="1" ht="15">
      <c r="A76" s="17"/>
      <c r="B76" s="74"/>
      <c r="C76" s="75"/>
      <c r="D76" s="75"/>
      <c r="E76" s="76"/>
      <c r="F76" s="76"/>
      <c r="G76" s="76"/>
      <c r="H76" s="25"/>
    </row>
    <row r="77" spans="1:8" s="2" customFormat="1" ht="15">
      <c r="A77" s="120"/>
      <c r="B77" s="118"/>
      <c r="C77" s="109"/>
      <c r="D77" s="109"/>
      <c r="E77" s="110"/>
      <c r="F77" s="110"/>
      <c r="G77" s="110"/>
      <c r="H77" s="121"/>
    </row>
    <row r="78" spans="1:8" s="2" customFormat="1" ht="15">
      <c r="A78" s="120"/>
      <c r="B78" s="118"/>
      <c r="C78" s="109"/>
      <c r="D78" s="109"/>
      <c r="E78" s="110"/>
      <c r="F78" s="110"/>
      <c r="G78" s="110"/>
      <c r="H78" s="121"/>
    </row>
    <row r="79" spans="1:8" s="2" customFormat="1" ht="15">
      <c r="A79" s="120"/>
      <c r="B79" s="118"/>
      <c r="C79" s="109"/>
      <c r="D79" s="109"/>
      <c r="E79" s="110"/>
      <c r="F79" s="110"/>
      <c r="G79" s="110"/>
      <c r="H79" s="121"/>
    </row>
    <row r="80" spans="1:8" s="2" customFormat="1" ht="15">
      <c r="A80" s="120"/>
      <c r="B80" s="118"/>
      <c r="C80" s="109"/>
      <c r="D80" s="109"/>
      <c r="E80" s="110"/>
      <c r="F80" s="110"/>
      <c r="G80" s="110"/>
      <c r="H80" s="121"/>
    </row>
    <row r="81" spans="1:8" s="2" customFormat="1" ht="15">
      <c r="A81" s="120"/>
      <c r="B81" s="118"/>
      <c r="C81" s="109"/>
      <c r="D81" s="109"/>
      <c r="E81" s="110"/>
      <c r="F81" s="110"/>
      <c r="G81" s="110"/>
      <c r="H81" s="121"/>
    </row>
    <row r="82" spans="1:8" s="2" customFormat="1" ht="15">
      <c r="A82" s="120"/>
      <c r="B82" s="118"/>
      <c r="C82" s="109"/>
      <c r="D82" s="109"/>
      <c r="E82" s="110"/>
      <c r="F82" s="110"/>
      <c r="G82" s="110"/>
      <c r="H82" s="121"/>
    </row>
    <row r="83" spans="2:8" s="2" customFormat="1" ht="15">
      <c r="B83" s="78"/>
      <c r="C83" s="79"/>
      <c r="D83" s="79"/>
      <c r="E83" s="80"/>
      <c r="F83" s="80"/>
      <c r="G83" s="80"/>
      <c r="H83" s="5"/>
    </row>
    <row r="84" spans="1:8" ht="15.75" thickBot="1">
      <c r="A84" s="11"/>
      <c r="B84" s="96"/>
      <c r="C84" s="97"/>
      <c r="D84" s="97"/>
      <c r="E84" s="98"/>
      <c r="F84" s="98"/>
      <c r="G84" s="98"/>
      <c r="H84" s="11"/>
    </row>
    <row r="85" spans="1:8" ht="29.25" thickTop="1">
      <c r="A85" s="174" t="s">
        <v>23</v>
      </c>
      <c r="B85" s="175"/>
      <c r="C85" s="176"/>
      <c r="D85" s="176"/>
      <c r="E85" s="177"/>
      <c r="F85" s="177"/>
      <c r="G85" s="177"/>
      <c r="H85" s="174"/>
    </row>
    <row r="86" spans="1:8" ht="15">
      <c r="A86" s="117" t="s">
        <v>31</v>
      </c>
      <c r="B86" s="78"/>
      <c r="C86" s="79"/>
      <c r="D86" s="79"/>
      <c r="E86" s="80"/>
      <c r="F86" s="80"/>
      <c r="G86" s="80"/>
      <c r="H86" s="2"/>
    </row>
    <row r="87" spans="1:8" s="32" customFormat="1" ht="60">
      <c r="A87" s="31" t="s">
        <v>26</v>
      </c>
      <c r="B87" s="62" t="s">
        <v>7</v>
      </c>
      <c r="C87" s="99">
        <f>B7</f>
        <v>39609</v>
      </c>
      <c r="D87" s="63"/>
      <c r="E87" s="64"/>
      <c r="F87" s="64"/>
      <c r="G87" s="63" t="s">
        <v>27</v>
      </c>
      <c r="H87" s="30" t="s">
        <v>14</v>
      </c>
    </row>
    <row r="88" spans="1:8" s="32" customFormat="1" ht="15">
      <c r="A88" s="31"/>
      <c r="B88" s="100"/>
      <c r="C88" s="63"/>
      <c r="D88" s="63"/>
      <c r="E88" s="64"/>
      <c r="F88" s="64"/>
      <c r="G88" s="63"/>
      <c r="H88" s="30"/>
    </row>
    <row r="89" spans="1:8" ht="15">
      <c r="A89" s="15"/>
      <c r="B89" s="69"/>
      <c r="C89" s="70"/>
      <c r="D89" s="70"/>
      <c r="E89" s="67"/>
      <c r="F89" s="67"/>
      <c r="G89" s="67"/>
      <c r="H89" s="15"/>
    </row>
    <row r="90" spans="1:8" ht="15">
      <c r="A90" s="15" t="s">
        <v>15</v>
      </c>
      <c r="B90" s="122" t="s">
        <v>28</v>
      </c>
      <c r="C90" s="123"/>
      <c r="D90" s="70"/>
      <c r="E90" s="67"/>
      <c r="F90" s="67"/>
      <c r="G90" s="67">
        <f>SUM(G25)</f>
        <v>10.2437</v>
      </c>
      <c r="H90" s="26">
        <f>SUM(C87*G90*3/80)</f>
        <v>15215.35</v>
      </c>
    </row>
    <row r="91" spans="1:8" s="34" customFormat="1" ht="15">
      <c r="A91" s="33"/>
      <c r="B91" s="66"/>
      <c r="C91" s="101"/>
      <c r="D91" s="101"/>
      <c r="E91" s="102"/>
      <c r="F91" s="102"/>
      <c r="G91" s="102"/>
      <c r="H91" s="46"/>
    </row>
    <row r="92" spans="1:8" s="2" customFormat="1" ht="15">
      <c r="A92" s="15"/>
      <c r="B92" s="69"/>
      <c r="C92" s="70"/>
      <c r="D92" s="70"/>
      <c r="E92" s="67"/>
      <c r="F92" s="67"/>
      <c r="G92" s="67"/>
      <c r="H92" s="20"/>
    </row>
    <row r="93" spans="1:8" ht="15">
      <c r="A93" s="114" t="s">
        <v>8</v>
      </c>
      <c r="B93" s="69"/>
      <c r="C93" s="70"/>
      <c r="D93" s="70"/>
      <c r="E93" s="67"/>
      <c r="F93" s="67"/>
      <c r="G93" s="67"/>
      <c r="H93" s="48">
        <f>SUM(H90-H91)</f>
        <v>15215.35</v>
      </c>
    </row>
    <row r="94" spans="1:8" ht="15">
      <c r="A94" s="2"/>
      <c r="B94" s="59"/>
      <c r="C94" s="60"/>
      <c r="D94" s="60"/>
      <c r="E94" s="61"/>
      <c r="F94" s="61"/>
      <c r="G94" s="61"/>
      <c r="H94" s="4"/>
    </row>
    <row r="95" spans="1:8" s="2" customFormat="1" ht="45">
      <c r="A95" s="19" t="s">
        <v>10</v>
      </c>
      <c r="B95" s="74" t="s">
        <v>7</v>
      </c>
      <c r="C95" s="45">
        <f>B7</f>
        <v>39609</v>
      </c>
      <c r="D95" s="63" t="s">
        <v>35</v>
      </c>
      <c r="E95" s="45">
        <v>40578.65</v>
      </c>
      <c r="F95" s="76"/>
      <c r="G95" s="63" t="s">
        <v>27</v>
      </c>
      <c r="H95" s="16" t="s">
        <v>5</v>
      </c>
    </row>
    <row r="96" spans="1:8" ht="15">
      <c r="A96" s="15" t="s">
        <v>29</v>
      </c>
      <c r="B96" s="69"/>
      <c r="C96" s="70"/>
      <c r="D96" s="70"/>
      <c r="E96" s="67"/>
      <c r="F96" s="67"/>
      <c r="G96" s="67"/>
      <c r="H96" s="15"/>
    </row>
    <row r="97" spans="1:8" ht="15">
      <c r="A97" s="15" t="s">
        <v>30</v>
      </c>
      <c r="B97" s="69"/>
      <c r="C97" s="70"/>
      <c r="D97" s="70"/>
      <c r="E97" s="67"/>
      <c r="F97" s="67"/>
      <c r="G97" s="67"/>
      <c r="H97" s="15"/>
    </row>
    <row r="98" spans="1:8" ht="15">
      <c r="A98" s="15" t="s">
        <v>11</v>
      </c>
      <c r="B98" s="44">
        <f>IF(C95&gt;=E95,E95,C95)</f>
        <v>39609</v>
      </c>
      <c r="C98" s="70"/>
      <c r="D98" s="91" t="s">
        <v>2</v>
      </c>
      <c r="E98" s="67" t="s">
        <v>2</v>
      </c>
      <c r="F98" s="91"/>
      <c r="G98" s="67">
        <f>SUM(G25)</f>
        <v>10.2437</v>
      </c>
      <c r="H98" s="27">
        <f>SUM(B98*G98*1/200)</f>
        <v>2028.71</v>
      </c>
    </row>
    <row r="99" spans="1:8" s="37" customFormat="1" ht="15">
      <c r="A99" s="42" t="s">
        <v>12</v>
      </c>
      <c r="B99" s="103">
        <f>IF(C95&lt;E95,0,C95-E95)</f>
        <v>0</v>
      </c>
      <c r="C99" s="104"/>
      <c r="D99" s="104"/>
      <c r="E99" s="105"/>
      <c r="F99" s="105"/>
      <c r="G99" s="92">
        <f>SUM(G25)</f>
        <v>10.2437</v>
      </c>
      <c r="H99" s="43">
        <f>SUM(B99*G99/80)</f>
        <v>0</v>
      </c>
    </row>
    <row r="100" spans="1:8" ht="15">
      <c r="A100" s="28"/>
      <c r="B100" s="106"/>
      <c r="C100" s="107"/>
      <c r="D100" s="107"/>
      <c r="E100" s="108"/>
      <c r="F100" s="108"/>
      <c r="G100" s="108"/>
      <c r="H100" s="8"/>
    </row>
    <row r="101" spans="1:8" s="2" customFormat="1" ht="15">
      <c r="A101" s="112" t="s">
        <v>32</v>
      </c>
      <c r="B101" s="113"/>
      <c r="C101" s="109"/>
      <c r="D101" s="109"/>
      <c r="E101" s="110"/>
      <c r="F101" s="110"/>
      <c r="G101" s="110"/>
      <c r="H101" s="47">
        <f>SUM(H98:H99)</f>
        <v>2028.71</v>
      </c>
    </row>
    <row r="102" spans="1:8" ht="15.75" thickBot="1">
      <c r="A102" s="11"/>
      <c r="B102" s="96"/>
      <c r="C102" s="97"/>
      <c r="D102" s="97"/>
      <c r="E102" s="98"/>
      <c r="F102" s="98"/>
      <c r="G102" s="98"/>
      <c r="H102" s="11"/>
    </row>
    <row r="103" ht="15.75" thickTop="1"/>
    <row r="105" ht="3" customHeight="1"/>
    <row r="106" spans="1:8" ht="51" customHeight="1">
      <c r="A106" s="178" t="s">
        <v>53</v>
      </c>
      <c r="B106" s="179"/>
      <c r="C106" s="179"/>
      <c r="D106" s="179"/>
      <c r="E106" s="179"/>
      <c r="F106" s="179"/>
      <c r="G106" s="179"/>
      <c r="H106" s="180"/>
    </row>
    <row r="116" ht="15">
      <c r="B116" s="51"/>
    </row>
  </sheetData>
  <sheetProtection/>
  <mergeCells count="3">
    <mergeCell ref="B90:C90"/>
    <mergeCell ref="A106:H106"/>
    <mergeCell ref="A1:G1"/>
  </mergeCells>
  <printOptions/>
  <pageMargins left="0.7086614173228347" right="0.7086614173228347" top="0.7480314960629921" bottom="0.7480314960629921" header="0.31496062992125984" footer="0.31496062992125984"/>
  <pageSetup horizontalDpi="600" verticalDpi="600" orientation="landscape" r:id="rId3"/>
  <headerFooter>
    <oddHeader>&amp;C&amp;P</oddHeader>
  </headerFooter>
  <legacyDrawing r:id="rId2"/>
</worksheet>
</file>

<file path=xl/worksheets/sheet2.xml><?xml version="1.0" encoding="utf-8"?>
<worksheet xmlns="http://schemas.openxmlformats.org/spreadsheetml/2006/main" xmlns:r="http://schemas.openxmlformats.org/officeDocument/2006/relationships">
  <dimension ref="A1:J25"/>
  <sheetViews>
    <sheetView view="pageLayout" workbookViewId="0" topLeftCell="A1">
      <selection activeCell="I28" sqref="I28"/>
    </sheetView>
  </sheetViews>
  <sheetFormatPr defaultColWidth="9.140625" defaultRowHeight="15"/>
  <cols>
    <col min="1" max="1" width="18.57421875" style="9" customWidth="1"/>
    <col min="2" max="2" width="12.140625" style="9" customWidth="1"/>
    <col min="3" max="3" width="10.140625" style="9" customWidth="1"/>
    <col min="4" max="4" width="13.57421875" style="9" customWidth="1"/>
    <col min="5" max="5" width="11.421875" style="9" customWidth="1"/>
    <col min="6" max="6" width="11.00390625" style="9" customWidth="1"/>
    <col min="7" max="7" width="10.28125" style="9" customWidth="1"/>
    <col min="8" max="8" width="13.57421875" style="9" customWidth="1"/>
    <col min="9" max="9" width="9.140625" style="9" customWidth="1"/>
    <col min="10" max="10" width="12.140625" style="9" customWidth="1"/>
    <col min="11" max="11" width="9.140625" style="9" customWidth="1"/>
  </cols>
  <sheetData>
    <row r="1" spans="1:10" ht="15.75">
      <c r="A1" s="128" t="s">
        <v>60</v>
      </c>
      <c r="B1" s="129" t="str">
        <f>Academic!B2</f>
        <v> </v>
      </c>
      <c r="C1" s="130"/>
      <c r="D1" s="130"/>
      <c r="E1" s="131" t="s">
        <v>61</v>
      </c>
      <c r="F1" s="132" t="str">
        <f>Academic!H5</f>
        <v> </v>
      </c>
      <c r="G1" s="132"/>
      <c r="H1" s="131" t="s">
        <v>88</v>
      </c>
      <c r="I1" s="133" t="str">
        <f>Academic!H2</f>
        <v> </v>
      </c>
      <c r="J1" s="130"/>
    </row>
    <row r="2" spans="1:10" ht="15">
      <c r="A2" s="128" t="s">
        <v>2</v>
      </c>
      <c r="B2" s="134"/>
      <c r="C2" s="130"/>
      <c r="D2" s="130"/>
      <c r="E2" s="132"/>
      <c r="F2" s="132"/>
      <c r="G2" s="132"/>
      <c r="H2" s="132"/>
      <c r="I2" s="135"/>
      <c r="J2" s="130"/>
    </row>
    <row r="3" spans="1:10" ht="15">
      <c r="A3" s="136" t="s">
        <v>62</v>
      </c>
      <c r="B3" s="137" t="s">
        <v>63</v>
      </c>
      <c r="C3" s="138" t="s">
        <v>64</v>
      </c>
      <c r="D3" s="138" t="s">
        <v>65</v>
      </c>
      <c r="E3" s="139" t="s">
        <v>66</v>
      </c>
      <c r="F3" s="139" t="s">
        <v>67</v>
      </c>
      <c r="G3" s="140" t="s">
        <v>68</v>
      </c>
      <c r="H3" s="141" t="s">
        <v>69</v>
      </c>
      <c r="I3" s="142" t="s">
        <v>70</v>
      </c>
      <c r="J3" s="143" t="s">
        <v>2</v>
      </c>
    </row>
    <row r="4" spans="1:10" ht="15">
      <c r="A4" s="144"/>
      <c r="B4" s="134"/>
      <c r="C4" s="130"/>
      <c r="D4" s="130"/>
      <c r="E4" s="139" t="s">
        <v>65</v>
      </c>
      <c r="F4" s="132"/>
      <c r="G4" s="132"/>
      <c r="H4" s="141" t="s">
        <v>10</v>
      </c>
      <c r="I4" s="135"/>
      <c r="J4" s="130"/>
    </row>
    <row r="5" spans="1:10" ht="15">
      <c r="A5" s="144" t="s">
        <v>71</v>
      </c>
      <c r="B5" s="130">
        <v>10359.1</v>
      </c>
      <c r="C5" s="130">
        <f>SUM(B5*3%)</f>
        <v>310.77</v>
      </c>
      <c r="D5" s="130">
        <v>14930.19</v>
      </c>
      <c r="E5" s="130">
        <f aca="true" t="shared" si="0" ref="E5:E17">SUM(D5*I5)</f>
        <v>7505.41</v>
      </c>
      <c r="F5" s="130">
        <f>SUM(B5-E5)</f>
        <v>2853.69</v>
      </c>
      <c r="G5" s="145">
        <f>IF(F5*3.5%&lt;=0,"0",F5*3.5%)</f>
        <v>99.88</v>
      </c>
      <c r="H5" s="130">
        <f>SUM(C5+G5)</f>
        <v>410.65</v>
      </c>
      <c r="I5" s="135">
        <f>Academic!G11</f>
        <v>0.5027</v>
      </c>
      <c r="J5" s="130" t="s">
        <v>2</v>
      </c>
    </row>
    <row r="6" spans="1:10" ht="15">
      <c r="A6" s="144" t="s">
        <v>72</v>
      </c>
      <c r="B6" s="130">
        <v>14765.51</v>
      </c>
      <c r="C6" s="130">
        <f aca="true" t="shared" si="1" ref="C6:C17">SUM(B6*3%)</f>
        <v>442.97</v>
      </c>
      <c r="D6" s="130">
        <v>16068</v>
      </c>
      <c r="E6" s="130">
        <f t="shared" si="0"/>
        <v>11061.21</v>
      </c>
      <c r="F6" s="130">
        <f aca="true" t="shared" si="2" ref="F6:F17">SUM(B6-E6)</f>
        <v>3704.3</v>
      </c>
      <c r="G6" s="145">
        <f aca="true" t="shared" si="3" ref="G6:G17">IF(F6*3.5%&lt;=0,"0",F6*3.5%)</f>
        <v>129.65</v>
      </c>
      <c r="H6" s="130">
        <f aca="true" t="shared" si="4" ref="H6:H17">SUM(C6+G6)</f>
        <v>572.62</v>
      </c>
      <c r="I6" s="135">
        <f>Academic!G12</f>
        <v>0.6884</v>
      </c>
      <c r="J6" s="130" t="s">
        <v>2</v>
      </c>
    </row>
    <row r="7" spans="1:10" ht="15">
      <c r="A7" s="144" t="s">
        <v>73</v>
      </c>
      <c r="B7" s="130">
        <v>20485.16</v>
      </c>
      <c r="C7" s="130">
        <f t="shared" si="1"/>
        <v>614.55</v>
      </c>
      <c r="D7" s="130">
        <v>17111.56</v>
      </c>
      <c r="E7" s="130">
        <f t="shared" si="0"/>
        <v>15097.53</v>
      </c>
      <c r="F7" s="130">
        <f t="shared" si="2"/>
        <v>5387.63</v>
      </c>
      <c r="G7" s="145">
        <f t="shared" si="3"/>
        <v>188.57</v>
      </c>
      <c r="H7" s="130">
        <f t="shared" si="4"/>
        <v>803.12</v>
      </c>
      <c r="I7" s="135">
        <f>Academic!G13</f>
        <v>0.8823</v>
      </c>
      <c r="J7" s="130" t="s">
        <v>2</v>
      </c>
    </row>
    <row r="8" spans="1:10" ht="15">
      <c r="A8" s="144" t="s">
        <v>74</v>
      </c>
      <c r="B8" s="130">
        <v>21485.91</v>
      </c>
      <c r="C8" s="130">
        <f t="shared" si="1"/>
        <v>644.58</v>
      </c>
      <c r="D8" s="130">
        <v>18294.28</v>
      </c>
      <c r="E8" s="130">
        <f t="shared" si="0"/>
        <v>14057.32</v>
      </c>
      <c r="F8" s="130">
        <f t="shared" si="2"/>
        <v>7428.59</v>
      </c>
      <c r="G8" s="145">
        <f t="shared" si="3"/>
        <v>260</v>
      </c>
      <c r="H8" s="130">
        <f t="shared" si="4"/>
        <v>904.58</v>
      </c>
      <c r="I8" s="135">
        <f>Academic!G14</f>
        <v>0.7684</v>
      </c>
      <c r="J8" s="130" t="s">
        <v>2</v>
      </c>
    </row>
    <row r="9" spans="1:10" ht="15">
      <c r="A9" s="144" t="s">
        <v>75</v>
      </c>
      <c r="B9" s="130">
        <v>26223.41</v>
      </c>
      <c r="C9" s="130">
        <f t="shared" si="1"/>
        <v>786.7</v>
      </c>
      <c r="D9" s="130">
        <v>19685.8</v>
      </c>
      <c r="E9" s="130">
        <f t="shared" si="0"/>
        <v>18512.53</v>
      </c>
      <c r="F9" s="130">
        <f t="shared" si="2"/>
        <v>7710.88</v>
      </c>
      <c r="G9" s="145">
        <f t="shared" si="3"/>
        <v>269.88</v>
      </c>
      <c r="H9" s="130">
        <f t="shared" si="4"/>
        <v>1056.58</v>
      </c>
      <c r="I9" s="135">
        <f>Academic!G15</f>
        <v>0.9404</v>
      </c>
      <c r="J9" s="130" t="s">
        <v>2</v>
      </c>
    </row>
    <row r="10" spans="1:10" ht="15">
      <c r="A10" s="144" t="s">
        <v>76</v>
      </c>
      <c r="B10" s="130">
        <v>20499.14</v>
      </c>
      <c r="C10" s="130">
        <f t="shared" si="1"/>
        <v>614.97</v>
      </c>
      <c r="D10" s="130">
        <v>21285.96</v>
      </c>
      <c r="E10" s="130">
        <f t="shared" si="0"/>
        <v>14857.6</v>
      </c>
      <c r="F10" s="130">
        <f t="shared" si="2"/>
        <v>5641.54</v>
      </c>
      <c r="G10" s="145">
        <f t="shared" si="3"/>
        <v>197.45</v>
      </c>
      <c r="H10" s="130">
        <f t="shared" si="4"/>
        <v>812.42</v>
      </c>
      <c r="I10" s="135">
        <f>Academic!G16</f>
        <v>0.698</v>
      </c>
      <c r="J10" s="130" t="s">
        <v>2</v>
      </c>
    </row>
    <row r="11" spans="1:10" ht="15">
      <c r="A11" s="144" t="s">
        <v>77</v>
      </c>
      <c r="B11" s="130">
        <v>21347.74</v>
      </c>
      <c r="C11" s="130">
        <f t="shared" si="1"/>
        <v>640.43</v>
      </c>
      <c r="D11" s="130">
        <v>22816.6</v>
      </c>
      <c r="E11" s="130">
        <f t="shared" si="0"/>
        <v>16003.56</v>
      </c>
      <c r="F11" s="130">
        <f t="shared" si="2"/>
        <v>5344.18</v>
      </c>
      <c r="G11" s="145">
        <f t="shared" si="3"/>
        <v>187.05</v>
      </c>
      <c r="H11" s="130">
        <f t="shared" si="4"/>
        <v>827.48</v>
      </c>
      <c r="I11" s="135">
        <f>Academic!G17</f>
        <v>0.7014</v>
      </c>
      <c r="J11" s="130" t="s">
        <v>2</v>
      </c>
    </row>
    <row r="12" spans="1:10" ht="15">
      <c r="A12" s="144" t="s">
        <v>78</v>
      </c>
      <c r="B12" s="130">
        <v>36239.56</v>
      </c>
      <c r="C12" s="130">
        <f t="shared" si="1"/>
        <v>1087.19</v>
      </c>
      <c r="D12" s="130">
        <v>23790.6</v>
      </c>
      <c r="E12" s="130">
        <f t="shared" si="0"/>
        <v>16741.45</v>
      </c>
      <c r="F12" s="130">
        <f t="shared" si="2"/>
        <v>19498.11</v>
      </c>
      <c r="G12" s="145">
        <f t="shared" si="3"/>
        <v>682.43</v>
      </c>
      <c r="H12" s="130">
        <f t="shared" si="4"/>
        <v>1769.62</v>
      </c>
      <c r="I12" s="135">
        <f>Academic!G18</f>
        <v>0.7037</v>
      </c>
      <c r="J12" s="130"/>
    </row>
    <row r="13" spans="1:10" ht="15">
      <c r="A13" s="144" t="s">
        <v>79</v>
      </c>
      <c r="B13" s="130">
        <v>27035.49</v>
      </c>
      <c r="C13" s="130">
        <f t="shared" si="1"/>
        <v>811.06</v>
      </c>
      <c r="D13" s="130">
        <v>24034.11</v>
      </c>
      <c r="E13" s="130">
        <f t="shared" si="0"/>
        <v>16790.23</v>
      </c>
      <c r="F13" s="130">
        <f t="shared" si="2"/>
        <v>10245.26</v>
      </c>
      <c r="G13" s="145">
        <f t="shared" si="3"/>
        <v>358.58</v>
      </c>
      <c r="H13" s="130">
        <f t="shared" si="4"/>
        <v>1169.64</v>
      </c>
      <c r="I13" s="135">
        <f>Academic!G19</f>
        <v>0.6986</v>
      </c>
      <c r="J13" s="130"/>
    </row>
    <row r="14" spans="1:10" ht="15">
      <c r="A14" s="144" t="s">
        <v>80</v>
      </c>
      <c r="B14" s="130">
        <v>24438.48</v>
      </c>
      <c r="C14" s="130">
        <f t="shared" si="1"/>
        <v>733.15</v>
      </c>
      <c r="D14" s="130">
        <v>24034.11</v>
      </c>
      <c r="E14" s="130">
        <f t="shared" si="0"/>
        <v>15831.27</v>
      </c>
      <c r="F14" s="130">
        <f t="shared" si="2"/>
        <v>8607.21</v>
      </c>
      <c r="G14" s="145">
        <f t="shared" si="3"/>
        <v>301.25</v>
      </c>
      <c r="H14" s="130">
        <f t="shared" si="4"/>
        <v>1034.4</v>
      </c>
      <c r="I14" s="135">
        <f>Academic!G20</f>
        <v>0.6587</v>
      </c>
      <c r="J14" s="130"/>
    </row>
    <row r="15" spans="1:10" ht="15">
      <c r="A15" s="144" t="s">
        <v>81</v>
      </c>
      <c r="B15" s="130">
        <v>28618.79</v>
      </c>
      <c r="C15" s="130">
        <f t="shared" si="1"/>
        <v>858.56</v>
      </c>
      <c r="D15" s="130">
        <v>24034.11</v>
      </c>
      <c r="E15" s="130">
        <f t="shared" si="0"/>
        <v>17496.83</v>
      </c>
      <c r="F15" s="130">
        <f t="shared" si="2"/>
        <v>11121.96</v>
      </c>
      <c r="G15" s="145">
        <f t="shared" si="3"/>
        <v>389.27</v>
      </c>
      <c r="H15" s="130">
        <f t="shared" si="4"/>
        <v>1247.83</v>
      </c>
      <c r="I15" s="135">
        <f>Academic!G21</f>
        <v>0.728</v>
      </c>
      <c r="J15" s="130"/>
    </row>
    <row r="16" spans="1:10" ht="15">
      <c r="A16" s="144" t="s">
        <v>85</v>
      </c>
      <c r="B16" s="130">
        <v>31708.19</v>
      </c>
      <c r="C16" s="130">
        <f t="shared" si="1"/>
        <v>951.25</v>
      </c>
      <c r="D16" s="130">
        <v>24034.11</v>
      </c>
      <c r="E16" s="130">
        <f t="shared" si="0"/>
        <v>20493.89</v>
      </c>
      <c r="F16" s="130">
        <f t="shared" si="2"/>
        <v>11214.3</v>
      </c>
      <c r="G16" s="145">
        <f t="shared" si="3"/>
        <v>392.5</v>
      </c>
      <c r="H16" s="130">
        <f t="shared" si="4"/>
        <v>1343.75</v>
      </c>
      <c r="I16" s="135">
        <f>Academic!G22</f>
        <v>0.8527</v>
      </c>
      <c r="J16" s="130"/>
    </row>
    <row r="17" spans="1:10" ht="15">
      <c r="A17" s="144" t="s">
        <v>86</v>
      </c>
      <c r="B17" s="130">
        <v>33576.1</v>
      </c>
      <c r="C17" s="130">
        <f t="shared" si="1"/>
        <v>1007.28</v>
      </c>
      <c r="D17" s="130">
        <v>24034.11</v>
      </c>
      <c r="E17" s="130">
        <f t="shared" si="0"/>
        <v>21027.44</v>
      </c>
      <c r="F17" s="130">
        <f t="shared" si="2"/>
        <v>12548.66</v>
      </c>
      <c r="G17" s="145">
        <f t="shared" si="3"/>
        <v>439.2</v>
      </c>
      <c r="H17" s="130">
        <f t="shared" si="4"/>
        <v>1446.48</v>
      </c>
      <c r="I17" s="135">
        <f>Academic!G23</f>
        <v>0.8749</v>
      </c>
      <c r="J17" s="130"/>
    </row>
    <row r="18" spans="1:10" ht="15">
      <c r="A18" s="144" t="s">
        <v>87</v>
      </c>
      <c r="B18" s="130">
        <v>21606.72</v>
      </c>
      <c r="C18" s="130">
        <f>SUM(B18*3%)</f>
        <v>648.2</v>
      </c>
      <c r="D18" s="130">
        <v>24034.11</v>
      </c>
      <c r="E18" s="130">
        <f>SUM(D18*I18)</f>
        <v>13110.61</v>
      </c>
      <c r="F18" s="130">
        <f>SUM(B18-E18)</f>
        <v>8496.11</v>
      </c>
      <c r="G18" s="145">
        <f>IF(F18*3.5%&lt;=0,"0",F18*3.5%)</f>
        <v>297.36</v>
      </c>
      <c r="H18" s="130">
        <f>SUM(C18+G18)</f>
        <v>945.56</v>
      </c>
      <c r="I18" s="135">
        <f>Academic!G24</f>
        <v>0.5455</v>
      </c>
      <c r="J18" s="130"/>
    </row>
    <row r="19" spans="1:10" ht="15">
      <c r="A19" s="144"/>
      <c r="B19" s="130"/>
      <c r="C19" s="130"/>
      <c r="D19" s="130"/>
      <c r="E19" s="130"/>
      <c r="F19" s="130"/>
      <c r="G19" s="130"/>
      <c r="H19" s="130"/>
      <c r="I19" s="135"/>
      <c r="J19" s="130"/>
    </row>
    <row r="20" spans="1:10" ht="15">
      <c r="A20" s="144"/>
      <c r="B20" s="130"/>
      <c r="C20" s="130"/>
      <c r="D20" s="130"/>
      <c r="E20" s="132"/>
      <c r="F20" s="132"/>
      <c r="G20" s="132"/>
      <c r="H20" s="130">
        <f>SUM(H5:H18)</f>
        <v>14344.73</v>
      </c>
      <c r="I20" s="146">
        <f>SUM(I5:I18)</f>
        <v>10.2437</v>
      </c>
      <c r="J20" s="130"/>
    </row>
    <row r="21" spans="1:10" ht="15">
      <c r="A21" s="144"/>
      <c r="B21" s="134"/>
      <c r="C21" s="130"/>
      <c r="D21" s="130"/>
      <c r="E21" s="132"/>
      <c r="F21" s="132"/>
      <c r="G21" s="132"/>
      <c r="H21" s="132"/>
      <c r="I21" s="135" t="s">
        <v>82</v>
      </c>
      <c r="J21" s="130">
        <f>H20</f>
        <v>14344.73</v>
      </c>
    </row>
    <row r="22" spans="1:10" ht="15">
      <c r="A22" s="144"/>
      <c r="B22" s="134"/>
      <c r="C22" s="130"/>
      <c r="D22" s="130"/>
      <c r="E22" s="132"/>
      <c r="F22" s="132"/>
      <c r="G22" s="132"/>
      <c r="H22" s="132"/>
      <c r="I22" s="135"/>
      <c r="J22" s="130"/>
    </row>
    <row r="23" spans="1:10" ht="15">
      <c r="A23" s="144"/>
      <c r="B23" s="134"/>
      <c r="C23" s="130"/>
      <c r="D23" s="130"/>
      <c r="E23" s="132"/>
      <c r="F23" s="132"/>
      <c r="G23" s="132"/>
      <c r="H23" s="132"/>
      <c r="I23" s="135" t="s">
        <v>83</v>
      </c>
      <c r="J23" s="130">
        <v>11080.68</v>
      </c>
    </row>
    <row r="24" spans="1:10" ht="15">
      <c r="A24" s="144"/>
      <c r="B24" s="134"/>
      <c r="C24" s="130"/>
      <c r="D24" s="130"/>
      <c r="E24" s="132"/>
      <c r="F24" s="132"/>
      <c r="G24" s="132"/>
      <c r="H24" s="132"/>
      <c r="I24" s="135"/>
      <c r="J24" s="130"/>
    </row>
    <row r="25" spans="1:10" ht="15">
      <c r="A25" s="144"/>
      <c r="B25" s="134"/>
      <c r="C25" s="130"/>
      <c r="D25" s="130"/>
      <c r="E25" s="132"/>
      <c r="F25" s="132"/>
      <c r="G25" s="132"/>
      <c r="H25" s="132"/>
      <c r="I25" s="147" t="s">
        <v>84</v>
      </c>
      <c r="J25" s="148">
        <f>SUM(J21-J23)</f>
        <v>3264.05</v>
      </c>
    </row>
  </sheetData>
  <sheetProtection/>
  <printOptions/>
  <pageMargins left="0.7" right="0.7" top="0.75" bottom="0.75" header="0.3" footer="0.3"/>
  <pageSetup horizontalDpi="600" verticalDpi="600" orientation="landscape" paperSize="9" r:id="rId3"/>
  <headerFooter>
    <oddHeader>&amp;RPro-Rata Arrears</oddHeader>
  </headerFooter>
  <legacyDrawing r:id="rId2"/>
</worksheet>
</file>

<file path=xl/worksheets/sheet3.xml><?xml version="1.0" encoding="utf-8"?>
<worksheet xmlns="http://schemas.openxmlformats.org/spreadsheetml/2006/main" xmlns:r="http://schemas.openxmlformats.org/officeDocument/2006/relationships">
  <dimension ref="A1:B17"/>
  <sheetViews>
    <sheetView zoomScalePageLayoutView="0" workbookViewId="0" topLeftCell="A1">
      <selection activeCell="D4" sqref="D4"/>
    </sheetView>
  </sheetViews>
  <sheetFormatPr defaultColWidth="9.140625" defaultRowHeight="15"/>
  <cols>
    <col min="1" max="1" width="18.8515625" style="9" customWidth="1"/>
    <col min="2" max="2" width="13.140625" style="9" customWidth="1"/>
  </cols>
  <sheetData>
    <row r="1" spans="1:2" ht="15">
      <c r="A1" s="38" t="s">
        <v>91</v>
      </c>
      <c r="B1" s="38"/>
    </row>
    <row r="2" spans="1:2" ht="15">
      <c r="A2" s="144" t="s">
        <v>71</v>
      </c>
      <c r="B2" s="130">
        <v>14930.19</v>
      </c>
    </row>
    <row r="3" spans="1:2" ht="15">
      <c r="A3" s="144" t="s">
        <v>72</v>
      </c>
      <c r="B3" s="130">
        <v>16068</v>
      </c>
    </row>
    <row r="4" spans="1:2" ht="15">
      <c r="A4" s="144" t="s">
        <v>73</v>
      </c>
      <c r="B4" s="130">
        <v>17111.56</v>
      </c>
    </row>
    <row r="5" spans="1:2" ht="15">
      <c r="A5" s="144" t="s">
        <v>74</v>
      </c>
      <c r="B5" s="130">
        <v>18294.28</v>
      </c>
    </row>
    <row r="6" spans="1:2" ht="15">
      <c r="A6" s="144" t="s">
        <v>75</v>
      </c>
      <c r="B6" s="130">
        <v>19685.8</v>
      </c>
    </row>
    <row r="7" spans="1:2" ht="15">
      <c r="A7" s="144" t="s">
        <v>76</v>
      </c>
      <c r="B7" s="130">
        <v>21285.96</v>
      </c>
    </row>
    <row r="8" spans="1:2" ht="15">
      <c r="A8" s="144" t="s">
        <v>77</v>
      </c>
      <c r="B8" s="130">
        <v>22816.6</v>
      </c>
    </row>
    <row r="9" spans="1:2" ht="15">
      <c r="A9" s="144" t="s">
        <v>78</v>
      </c>
      <c r="B9" s="130">
        <v>23790.6</v>
      </c>
    </row>
    <row r="10" spans="1:2" ht="15">
      <c r="A10" s="144" t="s">
        <v>79</v>
      </c>
      <c r="B10" s="130">
        <v>24034.11</v>
      </c>
    </row>
    <row r="11" spans="1:2" ht="15">
      <c r="A11" s="144" t="s">
        <v>80</v>
      </c>
      <c r="B11" s="130">
        <v>24034.11</v>
      </c>
    </row>
    <row r="12" spans="1:2" ht="15">
      <c r="A12" s="144" t="s">
        <v>81</v>
      </c>
      <c r="B12" s="130">
        <v>24034.11</v>
      </c>
    </row>
    <row r="13" spans="1:2" ht="15">
      <c r="A13" s="144" t="s">
        <v>85</v>
      </c>
      <c r="B13" s="130">
        <v>24034.11</v>
      </c>
    </row>
    <row r="14" spans="1:2" ht="15">
      <c r="A14" s="144" t="s">
        <v>86</v>
      </c>
      <c r="B14" s="130">
        <v>24034.11</v>
      </c>
    </row>
    <row r="15" spans="1:2" ht="15">
      <c r="A15" s="144" t="s">
        <v>87</v>
      </c>
      <c r="B15" s="130">
        <v>24034.11</v>
      </c>
    </row>
    <row r="16" spans="1:2" ht="15">
      <c r="A16" s="144" t="s">
        <v>92</v>
      </c>
      <c r="B16" s="130">
        <v>24034.11</v>
      </c>
    </row>
    <row r="17" spans="1:2" ht="15">
      <c r="A17" s="149" t="s">
        <v>116</v>
      </c>
      <c r="B17" s="130">
        <v>24242.83</v>
      </c>
    </row>
  </sheetData>
  <sheetProtection/>
  <printOptions/>
  <pageMargins left="0.7086614173228347" right="0.7086614173228347" top="0.7480314960629921" bottom="0.7480314960629921" header="0.31496062992125984" footer="0.31496062992125984"/>
  <pageSetup horizontalDpi="600" verticalDpi="600" orientation="portrait" paperSize="9" r:id="rId3"/>
  <headerFooter>
    <oddHeader>&amp;RSPC Rates</oddHeader>
  </headerFooter>
  <legacyDrawing r:id="rId2"/>
</worksheet>
</file>

<file path=xl/worksheets/sheet4.xml><?xml version="1.0" encoding="utf-8"?>
<worksheet xmlns="http://schemas.openxmlformats.org/spreadsheetml/2006/main" xmlns:r="http://schemas.openxmlformats.org/officeDocument/2006/relationships">
  <dimension ref="A1:J24"/>
  <sheetViews>
    <sheetView view="pageLayout" workbookViewId="0" topLeftCell="A1">
      <selection activeCell="D23" sqref="C23:D23"/>
    </sheetView>
  </sheetViews>
  <sheetFormatPr defaultColWidth="9.140625" defaultRowHeight="15"/>
  <cols>
    <col min="1" max="1" width="17.8515625" style="9" customWidth="1"/>
    <col min="2" max="2" width="14.8515625" style="9" customWidth="1"/>
    <col min="3" max="3" width="10.28125" style="9" customWidth="1"/>
    <col min="4" max="4" width="11.421875" style="9" customWidth="1"/>
    <col min="5" max="5" width="9.140625" style="9" customWidth="1"/>
    <col min="6" max="6" width="10.8515625" style="9" customWidth="1"/>
    <col min="7" max="8" width="11.7109375" style="9" customWidth="1"/>
    <col min="9" max="9" width="10.57421875" style="9" customWidth="1"/>
    <col min="10" max="10" width="11.421875" style="9" customWidth="1"/>
    <col min="11" max="11" width="9.140625" style="9" customWidth="1"/>
  </cols>
  <sheetData>
    <row r="1" spans="1:10" ht="21">
      <c r="A1" s="125" t="s">
        <v>93</v>
      </c>
      <c r="B1" s="126"/>
      <c r="C1" s="126"/>
      <c r="D1" s="126"/>
      <c r="E1" s="126"/>
      <c r="F1" s="126"/>
      <c r="G1" s="126"/>
      <c r="H1" s="126"/>
      <c r="I1" s="127"/>
      <c r="J1" s="17"/>
    </row>
    <row r="2" spans="1:10" ht="18.75">
      <c r="A2" s="52" t="s">
        <v>94</v>
      </c>
      <c r="B2" s="53" t="str">
        <f>Academic!B2</f>
        <v> </v>
      </c>
      <c r="C2" s="22"/>
      <c r="D2" s="150" t="s">
        <v>95</v>
      </c>
      <c r="E2" s="150" t="str">
        <f>Academic!H2</f>
        <v> </v>
      </c>
      <c r="F2" s="151"/>
      <c r="G2" s="150"/>
      <c r="H2" s="17"/>
      <c r="I2" s="17" t="s">
        <v>61</v>
      </c>
      <c r="J2" s="17" t="str">
        <f>Academic!H5</f>
        <v> </v>
      </c>
    </row>
    <row r="3" spans="1:10" ht="66" customHeight="1">
      <c r="A3" s="160" t="s">
        <v>62</v>
      </c>
      <c r="B3" s="161" t="s">
        <v>96</v>
      </c>
      <c r="C3" s="162" t="s">
        <v>97</v>
      </c>
      <c r="D3" s="163" t="s">
        <v>98</v>
      </c>
      <c r="E3" s="163" t="s">
        <v>99</v>
      </c>
      <c r="F3" s="164" t="s">
        <v>100</v>
      </c>
      <c r="G3" s="163" t="s">
        <v>101</v>
      </c>
      <c r="H3" s="165" t="s">
        <v>102</v>
      </c>
      <c r="I3" s="165" t="s">
        <v>103</v>
      </c>
      <c r="J3" s="166" t="s">
        <v>104</v>
      </c>
    </row>
    <row r="4" spans="1:10" ht="15">
      <c r="A4" s="167" t="s">
        <v>105</v>
      </c>
      <c r="B4" s="168">
        <v>0</v>
      </c>
      <c r="C4" s="22">
        <f>SUM(B4*3%)</f>
        <v>0</v>
      </c>
      <c r="D4" s="168">
        <f>'[1]Sheet3'!G3</f>
        <v>10002.98</v>
      </c>
      <c r="E4" s="168">
        <f>D4/52.18</f>
        <v>191.7</v>
      </c>
      <c r="F4" s="169">
        <v>0</v>
      </c>
      <c r="G4" s="168">
        <f aca="true" t="shared" si="0" ref="G4:G14">E4*F4</f>
        <v>0</v>
      </c>
      <c r="H4" s="22">
        <f>B4-G4</f>
        <v>0</v>
      </c>
      <c r="I4" s="150" t="str">
        <f>IF(H4*3.5%&lt;=0,"0",H4*3.5%)</f>
        <v>0</v>
      </c>
      <c r="J4" s="22">
        <f>C4+I4</f>
        <v>0</v>
      </c>
    </row>
    <row r="5" spans="1:10" ht="15">
      <c r="A5" s="167" t="s">
        <v>106</v>
      </c>
      <c r="B5" s="168">
        <v>0</v>
      </c>
      <c r="C5" s="22">
        <f aca="true" t="shared" si="1" ref="C5:C16">SUM(B5*3%)</f>
        <v>0</v>
      </c>
      <c r="D5" s="168">
        <f>'[1]Sheet2'!G5</f>
        <v>10501.49</v>
      </c>
      <c r="E5" s="168">
        <f aca="true" t="shared" si="2" ref="E5:E16">D5/52.18</f>
        <v>201.26</v>
      </c>
      <c r="F5" s="169">
        <v>0</v>
      </c>
      <c r="G5" s="168">
        <f t="shared" si="0"/>
        <v>0</v>
      </c>
      <c r="H5" s="22">
        <f aca="true" t="shared" si="3" ref="H5:H16">B5-G5</f>
        <v>0</v>
      </c>
      <c r="I5" s="150" t="str">
        <f aca="true" t="shared" si="4" ref="I5:I16">IF(H5*3.5%&lt;=0,"0",H5*3.5%)</f>
        <v>0</v>
      </c>
      <c r="J5" s="22">
        <f aca="true" t="shared" si="5" ref="J5:J16">C5+I5</f>
        <v>0</v>
      </c>
    </row>
    <row r="6" spans="1:10" ht="15">
      <c r="A6" s="167" t="s">
        <v>107</v>
      </c>
      <c r="B6" s="168">
        <v>0</v>
      </c>
      <c r="C6" s="22">
        <f t="shared" si="1"/>
        <v>0</v>
      </c>
      <c r="D6" s="168">
        <f>'[1]Sheet3'!G7</f>
        <v>11158.68</v>
      </c>
      <c r="E6" s="168">
        <f t="shared" si="2"/>
        <v>213.85</v>
      </c>
      <c r="F6" s="169">
        <v>0</v>
      </c>
      <c r="G6" s="168">
        <f t="shared" si="0"/>
        <v>0</v>
      </c>
      <c r="H6" s="22">
        <f t="shared" si="3"/>
        <v>0</v>
      </c>
      <c r="I6" s="150" t="str">
        <f t="shared" si="4"/>
        <v>0</v>
      </c>
      <c r="J6" s="22">
        <f t="shared" si="5"/>
        <v>0</v>
      </c>
    </row>
    <row r="7" spans="1:10" ht="15">
      <c r="A7" s="167" t="s">
        <v>108</v>
      </c>
      <c r="B7" s="168">
        <v>0</v>
      </c>
      <c r="C7" s="22">
        <f t="shared" si="1"/>
        <v>0</v>
      </c>
      <c r="D7" s="168">
        <f>'[1]Sheet3'!G9</f>
        <v>12054.96</v>
      </c>
      <c r="E7" s="168">
        <f t="shared" si="2"/>
        <v>231.03</v>
      </c>
      <c r="F7" s="169">
        <v>0</v>
      </c>
      <c r="G7" s="168">
        <f t="shared" si="0"/>
        <v>0</v>
      </c>
      <c r="H7" s="22">
        <f t="shared" si="3"/>
        <v>0</v>
      </c>
      <c r="I7" s="150" t="str">
        <f t="shared" si="4"/>
        <v>0</v>
      </c>
      <c r="J7" s="22">
        <f t="shared" si="5"/>
        <v>0</v>
      </c>
    </row>
    <row r="8" spans="1:10" ht="15">
      <c r="A8" s="167" t="s">
        <v>109</v>
      </c>
      <c r="B8" s="168">
        <v>0</v>
      </c>
      <c r="C8" s="22">
        <f t="shared" si="1"/>
        <v>0</v>
      </c>
      <c r="D8" s="168">
        <f>'[1]Sheet3'!G11</f>
        <v>13453.74</v>
      </c>
      <c r="E8" s="168">
        <f t="shared" si="2"/>
        <v>257.83</v>
      </c>
      <c r="F8" s="169">
        <v>0</v>
      </c>
      <c r="G8" s="168">
        <f t="shared" si="0"/>
        <v>0</v>
      </c>
      <c r="H8" s="22">
        <f t="shared" si="3"/>
        <v>0</v>
      </c>
      <c r="I8" s="150" t="str">
        <f t="shared" si="4"/>
        <v>0</v>
      </c>
      <c r="J8" s="22">
        <f t="shared" si="5"/>
        <v>0</v>
      </c>
    </row>
    <row r="9" spans="1:10" ht="15">
      <c r="A9" s="167" t="s">
        <v>71</v>
      </c>
      <c r="B9" s="168">
        <f>'Pro Rata Arrears'!B5</f>
        <v>10359.1</v>
      </c>
      <c r="C9" s="22">
        <f t="shared" si="1"/>
        <v>310.77</v>
      </c>
      <c r="D9" s="130">
        <v>14930.19</v>
      </c>
      <c r="E9" s="168">
        <f t="shared" si="2"/>
        <v>286.13</v>
      </c>
      <c r="F9" s="169">
        <v>50</v>
      </c>
      <c r="G9" s="168">
        <f t="shared" si="0"/>
        <v>14306.5</v>
      </c>
      <c r="H9" s="22">
        <f t="shared" si="3"/>
        <v>-3947.4</v>
      </c>
      <c r="I9" s="150" t="str">
        <f t="shared" si="4"/>
        <v>0</v>
      </c>
      <c r="J9" s="22">
        <f t="shared" si="5"/>
        <v>310.77</v>
      </c>
    </row>
    <row r="10" spans="1:10" ht="15">
      <c r="A10" s="152" t="s">
        <v>72</v>
      </c>
      <c r="B10" s="168">
        <f>'Pro Rata Arrears'!B6</f>
        <v>14765.51</v>
      </c>
      <c r="C10" s="22">
        <f t="shared" si="1"/>
        <v>442.97</v>
      </c>
      <c r="D10" s="130">
        <v>16068</v>
      </c>
      <c r="E10" s="168">
        <f t="shared" si="2"/>
        <v>307.93</v>
      </c>
      <c r="F10" s="153">
        <v>43</v>
      </c>
      <c r="G10" s="22">
        <f t="shared" si="0"/>
        <v>13240.99</v>
      </c>
      <c r="H10" s="22">
        <f t="shared" si="3"/>
        <v>1524.52</v>
      </c>
      <c r="I10" s="150">
        <f t="shared" si="4"/>
        <v>53.36</v>
      </c>
      <c r="J10" s="22">
        <f t="shared" si="5"/>
        <v>496.33</v>
      </c>
    </row>
    <row r="11" spans="1:10" ht="15">
      <c r="A11" s="152" t="s">
        <v>73</v>
      </c>
      <c r="B11" s="168">
        <f>'Pro Rata Arrears'!B7</f>
        <v>20485.16</v>
      </c>
      <c r="C11" s="22">
        <f t="shared" si="1"/>
        <v>614.55</v>
      </c>
      <c r="D11" s="130">
        <v>17111.56</v>
      </c>
      <c r="E11" s="168">
        <f t="shared" si="2"/>
        <v>327.93</v>
      </c>
      <c r="F11" s="153">
        <v>48</v>
      </c>
      <c r="G11" s="22">
        <f t="shared" si="0"/>
        <v>15740.64</v>
      </c>
      <c r="H11" s="22">
        <f t="shared" si="3"/>
        <v>4744.52</v>
      </c>
      <c r="I11" s="150">
        <f t="shared" si="4"/>
        <v>166.06</v>
      </c>
      <c r="J11" s="22">
        <f t="shared" si="5"/>
        <v>780.61</v>
      </c>
    </row>
    <row r="12" spans="1:10" ht="15">
      <c r="A12" s="152" t="s">
        <v>74</v>
      </c>
      <c r="B12" s="168">
        <f>'Pro Rata Arrears'!B8</f>
        <v>21485.91</v>
      </c>
      <c r="C12" s="22">
        <f t="shared" si="1"/>
        <v>644.58</v>
      </c>
      <c r="D12" s="130">
        <v>18294.28</v>
      </c>
      <c r="E12" s="168">
        <f t="shared" si="2"/>
        <v>350.6</v>
      </c>
      <c r="F12" s="153">
        <v>45</v>
      </c>
      <c r="G12" s="22">
        <f t="shared" si="0"/>
        <v>15777</v>
      </c>
      <c r="H12" s="22">
        <f t="shared" si="3"/>
        <v>5708.91</v>
      </c>
      <c r="I12" s="150">
        <f t="shared" si="4"/>
        <v>199.81</v>
      </c>
      <c r="J12" s="22">
        <f t="shared" si="5"/>
        <v>844.39</v>
      </c>
    </row>
    <row r="13" spans="1:10" ht="15">
      <c r="A13" s="152" t="s">
        <v>75</v>
      </c>
      <c r="B13" s="168">
        <f>'Pro Rata Arrears'!B9</f>
        <v>26223.41</v>
      </c>
      <c r="C13" s="22">
        <f t="shared" si="1"/>
        <v>786.7</v>
      </c>
      <c r="D13" s="130">
        <v>19685.8</v>
      </c>
      <c r="E13" s="168">
        <f t="shared" si="2"/>
        <v>377.27</v>
      </c>
      <c r="F13" s="153">
        <v>45</v>
      </c>
      <c r="G13" s="22">
        <f t="shared" si="0"/>
        <v>16977.15</v>
      </c>
      <c r="H13" s="22">
        <f t="shared" si="3"/>
        <v>9246.26</v>
      </c>
      <c r="I13" s="150">
        <f t="shared" si="4"/>
        <v>323.62</v>
      </c>
      <c r="J13" s="22">
        <f t="shared" si="5"/>
        <v>1110.32</v>
      </c>
    </row>
    <row r="14" spans="1:10" ht="15">
      <c r="A14" s="152" t="s">
        <v>110</v>
      </c>
      <c r="B14" s="168">
        <f>'Pro Rata Arrears'!B10</f>
        <v>20499.14</v>
      </c>
      <c r="C14" s="22">
        <f t="shared" si="1"/>
        <v>614.97</v>
      </c>
      <c r="D14" s="130">
        <v>21285.96</v>
      </c>
      <c r="E14" s="168">
        <f t="shared" si="2"/>
        <v>407.93</v>
      </c>
      <c r="F14" s="153">
        <v>45</v>
      </c>
      <c r="G14" s="22">
        <f t="shared" si="0"/>
        <v>18356.85</v>
      </c>
      <c r="H14" s="22">
        <f t="shared" si="3"/>
        <v>2142.29</v>
      </c>
      <c r="I14" s="150">
        <f t="shared" si="4"/>
        <v>74.98</v>
      </c>
      <c r="J14" s="22">
        <f t="shared" si="5"/>
        <v>689.95</v>
      </c>
    </row>
    <row r="15" spans="1:10" ht="15">
      <c r="A15" s="152" t="s">
        <v>77</v>
      </c>
      <c r="B15" s="168">
        <v>0</v>
      </c>
      <c r="C15" s="22">
        <f t="shared" si="1"/>
        <v>0</v>
      </c>
      <c r="D15" s="130">
        <v>22816.6</v>
      </c>
      <c r="E15" s="168">
        <f t="shared" si="2"/>
        <v>437.27</v>
      </c>
      <c r="F15" s="153"/>
      <c r="G15" s="22"/>
      <c r="H15" s="22">
        <f t="shared" si="3"/>
        <v>0</v>
      </c>
      <c r="I15" s="150" t="str">
        <f t="shared" si="4"/>
        <v>0</v>
      </c>
      <c r="J15" s="22">
        <f t="shared" si="5"/>
        <v>0</v>
      </c>
    </row>
    <row r="16" spans="1:10" ht="15">
      <c r="A16" s="152" t="s">
        <v>78</v>
      </c>
      <c r="B16" s="168">
        <v>0</v>
      </c>
      <c r="C16" s="22">
        <f t="shared" si="1"/>
        <v>0</v>
      </c>
      <c r="D16" s="130">
        <v>23790.6</v>
      </c>
      <c r="E16" s="168">
        <f t="shared" si="2"/>
        <v>455.93</v>
      </c>
      <c r="F16" s="153"/>
      <c r="G16" s="22"/>
      <c r="H16" s="22">
        <f t="shared" si="3"/>
        <v>0</v>
      </c>
      <c r="I16" s="150" t="str">
        <f t="shared" si="4"/>
        <v>0</v>
      </c>
      <c r="J16" s="22">
        <f t="shared" si="5"/>
        <v>0</v>
      </c>
    </row>
    <row r="17" spans="1:10" ht="15">
      <c r="A17" s="154"/>
      <c r="B17" s="155"/>
      <c r="C17" s="156"/>
      <c r="D17" s="22"/>
      <c r="E17" s="22"/>
      <c r="F17" s="153"/>
      <c r="G17" s="22"/>
      <c r="H17" s="17"/>
      <c r="I17" s="17"/>
      <c r="J17" s="17"/>
    </row>
    <row r="18" spans="1:10" ht="15">
      <c r="A18" s="154"/>
      <c r="B18" s="155"/>
      <c r="C18" s="156"/>
      <c r="D18" s="150" t="s">
        <v>82</v>
      </c>
      <c r="E18" s="150"/>
      <c r="F18" s="151"/>
      <c r="G18" s="150"/>
      <c r="H18" s="17"/>
      <c r="I18" s="17"/>
      <c r="J18" s="22">
        <f>SUM(J4:J16)</f>
        <v>4232.37</v>
      </c>
    </row>
    <row r="19" spans="1:10" ht="15">
      <c r="A19" s="154"/>
      <c r="B19" s="155"/>
      <c r="C19" s="156"/>
      <c r="D19" s="150" t="s">
        <v>111</v>
      </c>
      <c r="E19" s="150"/>
      <c r="F19" s="151"/>
      <c r="G19" s="150"/>
      <c r="H19" s="17"/>
      <c r="I19" s="17"/>
      <c r="J19" s="22">
        <v>0</v>
      </c>
    </row>
    <row r="20" spans="1:10" ht="15">
      <c r="A20" s="154"/>
      <c r="B20" s="155"/>
      <c r="C20" s="156"/>
      <c r="D20" s="157" t="s">
        <v>112</v>
      </c>
      <c r="E20" s="150"/>
      <c r="F20" s="151"/>
      <c r="G20" s="150"/>
      <c r="H20" s="17"/>
      <c r="I20" s="17"/>
      <c r="J20" s="22">
        <v>0</v>
      </c>
    </row>
    <row r="21" spans="1:10" ht="15">
      <c r="A21" s="154"/>
      <c r="B21" s="155"/>
      <c r="C21" s="156"/>
      <c r="D21" s="54" t="s">
        <v>113</v>
      </c>
      <c r="E21" s="54"/>
      <c r="F21" s="55"/>
      <c r="G21" s="54"/>
      <c r="H21" s="158"/>
      <c r="I21" s="158"/>
      <c r="J21" s="159">
        <f>SUM(J18+J19-J20)</f>
        <v>4232.37</v>
      </c>
    </row>
    <row r="22" ht="15">
      <c r="F22" s="155"/>
    </row>
    <row r="23" ht="15">
      <c r="F23" s="155"/>
    </row>
    <row r="24" ht="15">
      <c r="F24" s="155"/>
    </row>
  </sheetData>
  <sheetProtection/>
  <mergeCells count="1">
    <mergeCell ref="A1:I1"/>
  </mergeCells>
  <printOptions/>
  <pageMargins left="0.7" right="0.7" top="0.75" bottom="0.75" header="0.3" footer="0.3"/>
  <pageSetup horizontalDpi="600" verticalDpi="600" orientation="landscape" paperSize="9" r:id="rId1"/>
  <headerFooter>
    <oddHeader>&amp;RLimited Membership Arrears</oddHeader>
  </headerFooter>
</worksheet>
</file>

<file path=xl/worksheets/sheet5.xml><?xml version="1.0" encoding="utf-8"?>
<worksheet xmlns="http://schemas.openxmlformats.org/spreadsheetml/2006/main" xmlns:r="http://schemas.openxmlformats.org/officeDocument/2006/relationships">
  <dimension ref="A1:H7"/>
  <sheetViews>
    <sheetView zoomScalePageLayoutView="0" workbookViewId="0" topLeftCell="A1">
      <selection activeCell="C10" sqref="C10"/>
    </sheetView>
  </sheetViews>
  <sheetFormatPr defaultColWidth="9.140625" defaultRowHeight="15"/>
  <cols>
    <col min="1" max="1" width="5.00390625" style="0" customWidth="1"/>
    <col min="2" max="2" width="24.7109375" style="0" bestFit="1" customWidth="1"/>
  </cols>
  <sheetData>
    <row r="1" spans="1:2" ht="15">
      <c r="A1" s="170" t="s">
        <v>54</v>
      </c>
      <c r="B1" s="170"/>
    </row>
    <row r="3" spans="1:8" s="39" customFormat="1" ht="36" customHeight="1">
      <c r="A3" s="171">
        <v>1</v>
      </c>
      <c r="B3" s="172" t="s">
        <v>117</v>
      </c>
      <c r="C3" s="172"/>
      <c r="D3" s="172"/>
      <c r="E3" s="172"/>
      <c r="F3" s="172"/>
      <c r="G3" s="172"/>
      <c r="H3" s="172"/>
    </row>
    <row r="4" spans="1:8" ht="15">
      <c r="A4" s="171">
        <v>2</v>
      </c>
      <c r="B4" s="173" t="s">
        <v>118</v>
      </c>
      <c r="C4" s="173"/>
      <c r="D4" s="173"/>
      <c r="E4" s="173"/>
      <c r="F4" s="173"/>
      <c r="G4" s="173"/>
      <c r="H4" s="173"/>
    </row>
    <row r="5" spans="1:8" ht="15">
      <c r="A5" s="171">
        <v>3</v>
      </c>
      <c r="B5" s="173" t="s">
        <v>119</v>
      </c>
      <c r="C5" s="173"/>
      <c r="D5" s="173"/>
      <c r="E5" s="173"/>
      <c r="F5" s="173"/>
      <c r="G5" s="173"/>
      <c r="H5" s="173"/>
    </row>
    <row r="6" spans="1:8" ht="15">
      <c r="A6" s="171">
        <v>4</v>
      </c>
      <c r="B6" s="173" t="s">
        <v>120</v>
      </c>
      <c r="C6" s="173"/>
      <c r="D6" s="173"/>
      <c r="E6" s="173"/>
      <c r="F6" s="173"/>
      <c r="G6" s="173"/>
      <c r="H6" s="173"/>
    </row>
    <row r="7" spans="1:8" ht="33.75" customHeight="1">
      <c r="A7" s="171">
        <v>5</v>
      </c>
      <c r="B7" s="172" t="s">
        <v>121</v>
      </c>
      <c r="C7" s="172"/>
      <c r="D7" s="172"/>
      <c r="E7" s="172"/>
      <c r="F7" s="172"/>
      <c r="G7" s="172"/>
      <c r="H7" s="171"/>
    </row>
  </sheetData>
  <sheetProtection/>
  <mergeCells count="6">
    <mergeCell ref="B3:H3"/>
    <mergeCell ref="B7:G7"/>
    <mergeCell ref="A1:B1"/>
    <mergeCell ref="B6:H6"/>
    <mergeCell ref="B5:H5"/>
    <mergeCell ref="B4:H4"/>
  </mergeCells>
  <printOptions/>
  <pageMargins left="0.7086614173228347" right="0.7086614173228347" top="0.7480314960629921" bottom="0.7480314960629921" header="0.31496062992125984" footer="0.31496062992125984"/>
  <pageSetup horizontalDpi="600" verticalDpi="600" orientation="portrait" r:id="rId1"/>
  <headerFooter>
    <oddHeader>&amp;RNotes on Spreadsheets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2012-11-16T14:31:26Z</cp:lastPrinted>
  <dcterms:created xsi:type="dcterms:W3CDTF">2006-09-16T00:00:00Z</dcterms:created>
  <dcterms:modified xsi:type="dcterms:W3CDTF">2016-06-28T10:21:34Z</dcterms:modified>
  <cp:category/>
  <cp:version/>
  <cp:contentType/>
  <cp:contentStatus/>
</cp:coreProperties>
</file>